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BKMN\Documents\NSBK\2024\Årsmøtedokumenter 2024\PDF\"/>
    </mc:Choice>
  </mc:AlternateContent>
  <xr:revisionPtr revIDLastSave="0" documentId="13_ncr:1_{F06194C1-7618-47ED-B550-03A8AC0AD8D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orside" sheetId="3" r:id="rId1"/>
    <sheet name="Resultat" sheetId="1" r:id="rId2"/>
    <sheet name="Balanse" sheetId="2" r:id="rId3"/>
    <sheet name="Ark1" sheetId="4" r:id="rId4"/>
  </sheets>
  <definedNames>
    <definedName name="_xlnm.Print_Area" localSheetId="2">Balanse!$A$1:$G$42</definedName>
    <definedName name="_xlnm.Print_Area" localSheetId="1">Resultat!$A$1:$AA$59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S42" i="2"/>
  <c r="F12" i="2"/>
  <c r="G12" i="2"/>
  <c r="F16" i="2"/>
  <c r="F22" i="2"/>
  <c r="G22" i="2"/>
  <c r="G24" i="2"/>
  <c r="G32" i="2"/>
  <c r="F40" i="2"/>
  <c r="G40" i="2"/>
  <c r="R40" i="2"/>
  <c r="R22" i="2"/>
  <c r="R16" i="2"/>
  <c r="R24" i="2"/>
  <c r="R12" i="2"/>
  <c r="S40" i="2"/>
  <c r="S22" i="2"/>
  <c r="S12" i="2"/>
  <c r="S24" i="2"/>
  <c r="AF54" i="1"/>
  <c r="AF45" i="1"/>
  <c r="AF41" i="1"/>
  <c r="AF46" i="1"/>
  <c r="AF18" i="1"/>
  <c r="AE54" i="1"/>
  <c r="AE26" i="1"/>
  <c r="AE25" i="1"/>
  <c r="AE46" i="1"/>
  <c r="AE13" i="1"/>
  <c r="AE10" i="1"/>
  <c r="AE18" i="1"/>
  <c r="AD54" i="1"/>
  <c r="AD26" i="1"/>
  <c r="AD46" i="1"/>
  <c r="AD18" i="1"/>
  <c r="AD13" i="1"/>
  <c r="AC54" i="1"/>
  <c r="AC48" i="1"/>
  <c r="AC46" i="1"/>
  <c r="AC18" i="1"/>
  <c r="AC56" i="1"/>
  <c r="AB54" i="1"/>
  <c r="AB48" i="1"/>
  <c r="AB46" i="1"/>
  <c r="AB18" i="1"/>
  <c r="AB56" i="1"/>
  <c r="AA25" i="1"/>
  <c r="AA46" i="1"/>
  <c r="AA10" i="1"/>
  <c r="AA18" i="1"/>
  <c r="G54" i="1"/>
  <c r="G46" i="1"/>
  <c r="G18" i="1"/>
  <c r="G56" i="1"/>
  <c r="C22" i="2"/>
  <c r="C24" i="2"/>
  <c r="D31" i="2"/>
  <c r="F24" i="2"/>
  <c r="G42" i="2"/>
  <c r="F32" i="2"/>
  <c r="F42" i="2"/>
  <c r="R42" i="2"/>
  <c r="AF56" i="1"/>
  <c r="AF48" i="1"/>
  <c r="AE56" i="1"/>
  <c r="AE48" i="1"/>
  <c r="AD56" i="1"/>
  <c r="AD48" i="1"/>
  <c r="AA56" i="1"/>
  <c r="AA48" i="1"/>
  <c r="G48" i="1"/>
  <c r="C31" i="2"/>
  <c r="I54" i="1"/>
  <c r="I46" i="1"/>
  <c r="I18" i="1"/>
  <c r="I56" i="1"/>
  <c r="D40" i="2"/>
  <c r="D18" i="2"/>
  <c r="D22" i="2"/>
  <c r="D12" i="2"/>
  <c r="E18" i="2"/>
  <c r="E24" i="2"/>
  <c r="E40" i="2"/>
  <c r="E12" i="2"/>
  <c r="D24" i="2"/>
  <c r="I48" i="1"/>
  <c r="H54" i="1"/>
  <c r="H46" i="1"/>
  <c r="H18" i="1"/>
  <c r="H56" i="1"/>
  <c r="H48" i="1"/>
  <c r="J54" i="1"/>
  <c r="J46" i="1"/>
  <c r="J18" i="1"/>
  <c r="J56" i="1"/>
  <c r="K45" i="1"/>
  <c r="K25" i="1"/>
  <c r="J48" i="1"/>
  <c r="H12" i="2"/>
  <c r="H40" i="2"/>
  <c r="H22" i="2"/>
  <c r="H24" i="2"/>
  <c r="K54" i="1"/>
  <c r="K46" i="1"/>
  <c r="K18" i="1"/>
  <c r="K48" i="1"/>
  <c r="K56" i="1"/>
  <c r="H31" i="2"/>
  <c r="M26" i="1"/>
  <c r="M46" i="1"/>
  <c r="M13" i="1"/>
  <c r="M18" i="1"/>
  <c r="L46" i="1"/>
  <c r="I22" i="2"/>
  <c r="I12" i="2"/>
  <c r="M54" i="1"/>
  <c r="L54" i="1"/>
  <c r="L18" i="1"/>
  <c r="I40" i="2"/>
  <c r="I24" i="2"/>
  <c r="M48" i="1"/>
  <c r="L48" i="1"/>
  <c r="L56" i="1"/>
  <c r="M56" i="1"/>
  <c r="I31" i="2"/>
  <c r="O13" i="1"/>
  <c r="J18" i="2"/>
  <c r="O45" i="1"/>
  <c r="O41" i="1"/>
  <c r="O26" i="1"/>
  <c r="O18" i="1"/>
  <c r="O54" i="1"/>
  <c r="N54" i="1"/>
  <c r="O46" i="1"/>
  <c r="N46" i="1"/>
  <c r="N18" i="1"/>
  <c r="J40" i="2"/>
  <c r="J22" i="2"/>
  <c r="J12" i="2"/>
  <c r="J24" i="2"/>
  <c r="N56" i="1"/>
  <c r="N48" i="1"/>
  <c r="O56" i="1"/>
  <c r="J31" i="2"/>
  <c r="O48" i="1"/>
  <c r="K40" i="2"/>
  <c r="P54" i="1"/>
  <c r="Q54" i="1"/>
  <c r="P46" i="1"/>
  <c r="Q46" i="1"/>
  <c r="P18" i="1"/>
  <c r="Q18" i="1"/>
  <c r="K12" i="2"/>
  <c r="K22" i="2"/>
  <c r="K24" i="2"/>
  <c r="P56" i="1"/>
  <c r="P48" i="1"/>
  <c r="Q56" i="1"/>
  <c r="K31" i="2"/>
  <c r="Q48" i="1"/>
  <c r="R54" i="1"/>
  <c r="R46" i="1"/>
  <c r="R18" i="1"/>
  <c r="L40" i="2"/>
  <c r="S54" i="1"/>
  <c r="S46" i="1"/>
  <c r="S18" i="1"/>
  <c r="L22" i="2"/>
  <c r="L12" i="2"/>
  <c r="R56" i="1"/>
  <c r="R48" i="1"/>
  <c r="L24" i="2"/>
  <c r="S56" i="1"/>
  <c r="L31" i="2"/>
  <c r="S48" i="1"/>
  <c r="U10" i="1"/>
  <c r="M22" i="2"/>
  <c r="U45" i="1"/>
  <c r="U25" i="1"/>
  <c r="M40" i="2"/>
  <c r="M12" i="2"/>
  <c r="T46" i="1"/>
  <c r="T54" i="1"/>
  <c r="U54" i="1"/>
  <c r="T18" i="1"/>
  <c r="U18" i="1"/>
  <c r="W45" i="1"/>
  <c r="W25" i="1"/>
  <c r="W41" i="1"/>
  <c r="W54" i="1"/>
  <c r="N40" i="2"/>
  <c r="N12" i="2"/>
  <c r="N22" i="2"/>
  <c r="W11" i="1"/>
  <c r="W13" i="1"/>
  <c r="N14" i="2"/>
  <c r="X44" i="1"/>
  <c r="X46" i="1"/>
  <c r="X10" i="1"/>
  <c r="X18" i="1"/>
  <c r="Q36" i="2"/>
  <c r="Q40" i="2"/>
  <c r="Q30" i="2"/>
  <c r="Q22" i="2"/>
  <c r="Q14" i="2"/>
  <c r="Q12" i="2"/>
  <c r="Y45" i="1"/>
  <c r="Y44" i="1"/>
  <c r="Y33" i="1"/>
  <c r="Y26" i="1"/>
  <c r="Y25" i="1"/>
  <c r="Y24" i="1"/>
  <c r="Z54" i="1"/>
  <c r="Z10" i="1"/>
  <c r="Z11" i="1"/>
  <c r="Z24" i="1"/>
  <c r="Z25" i="1"/>
  <c r="Z33" i="1"/>
  <c r="Z36" i="1"/>
  <c r="Z45" i="1"/>
  <c r="Y18" i="1"/>
  <c r="O40" i="2"/>
  <c r="P22" i="2"/>
  <c r="P12" i="2"/>
  <c r="O22" i="2"/>
  <c r="V18" i="1"/>
  <c r="V46" i="1"/>
  <c r="V54" i="1"/>
  <c r="X54" i="1"/>
  <c r="Y54" i="1"/>
  <c r="O12" i="2"/>
  <c r="P40" i="2"/>
  <c r="U46" i="1"/>
  <c r="U56" i="1"/>
  <c r="M31" i="2"/>
  <c r="O24" i="2"/>
  <c r="Q24" i="2"/>
  <c r="P24" i="2"/>
  <c r="Z18" i="1"/>
  <c r="M24" i="2"/>
  <c r="T56" i="1"/>
  <c r="T48" i="1"/>
  <c r="N24" i="2"/>
  <c r="W18" i="1"/>
  <c r="V56" i="1"/>
  <c r="Z46" i="1"/>
  <c r="Y46" i="1"/>
  <c r="Y48" i="1"/>
  <c r="W46" i="1"/>
  <c r="V48" i="1"/>
  <c r="X56" i="1"/>
  <c r="O31" i="2"/>
  <c r="X48" i="1"/>
  <c r="U48" i="1"/>
  <c r="Z56" i="1"/>
  <c r="Q31" i="2"/>
  <c r="Q32" i="2"/>
  <c r="Z48" i="1"/>
  <c r="W48" i="1"/>
  <c r="Y56" i="1"/>
  <c r="P31" i="2"/>
  <c r="W56" i="1"/>
  <c r="N31" i="2"/>
  <c r="P30" i="2"/>
  <c r="P32" i="2"/>
  <c r="P42" i="2"/>
  <c r="P45" i="2"/>
  <c r="Q42" i="2"/>
  <c r="Q45" i="2"/>
  <c r="O30" i="2"/>
  <c r="O32" i="2"/>
  <c r="N30" i="2"/>
  <c r="N32" i="2"/>
  <c r="O42" i="2"/>
  <c r="O45" i="2"/>
  <c r="N42" i="2"/>
  <c r="N45" i="2"/>
  <c r="M30" i="2"/>
  <c r="M32" i="2"/>
  <c r="M42" i="2"/>
  <c r="M45" i="2"/>
  <c r="L30" i="2"/>
  <c r="L32" i="2"/>
  <c r="L42" i="2"/>
  <c r="L45" i="2"/>
  <c r="K30" i="2"/>
  <c r="K32" i="2"/>
  <c r="K42" i="2"/>
  <c r="K45" i="2"/>
  <c r="J30" i="2"/>
  <c r="J32" i="2"/>
  <c r="J42" i="2"/>
  <c r="J45" i="2"/>
  <c r="I30" i="2"/>
  <c r="I32" i="2"/>
  <c r="I42" i="2"/>
  <c r="I45" i="2"/>
  <c r="H30" i="2"/>
  <c r="H32" i="2"/>
  <c r="H42" i="2"/>
  <c r="H45" i="2"/>
  <c r="E32" i="2"/>
  <c r="D30" i="2"/>
  <c r="E42" i="2"/>
  <c r="D32" i="2"/>
  <c r="D42" i="2"/>
  <c r="C30" i="2"/>
  <c r="C32" i="2"/>
  <c r="C42" i="2"/>
</calcChain>
</file>

<file path=xl/sharedStrings.xml><?xml version="1.0" encoding="utf-8"?>
<sst xmlns="http://schemas.openxmlformats.org/spreadsheetml/2006/main" count="115" uniqueCount="81">
  <si>
    <t>Norsk Schnauzer Bouvier Klubb</t>
  </si>
  <si>
    <t>Resultat</t>
  </si>
  <si>
    <t>Balanse</t>
  </si>
  <si>
    <t>Budsjett</t>
  </si>
  <si>
    <t>Regnskap</t>
  </si>
  <si>
    <t>Inntekter:</t>
  </si>
  <si>
    <t>Medlemskontingent NSBK</t>
  </si>
  <si>
    <t>Annonse-/loddsalg/kalender</t>
  </si>
  <si>
    <t xml:space="preserve">Kursinntekter </t>
  </si>
  <si>
    <t>Salgsinntekter</t>
  </si>
  <si>
    <t xml:space="preserve">Tilskudd </t>
  </si>
  <si>
    <t>Sum inntekter</t>
  </si>
  <si>
    <t>Kostnader:</t>
  </si>
  <si>
    <t>Tilskudd til gruppene</t>
  </si>
  <si>
    <t>Overføring ressurskonto</t>
  </si>
  <si>
    <t>Kostnader medlemsblad inkl. porto</t>
  </si>
  <si>
    <t>Kostnader web-sider</t>
  </si>
  <si>
    <t>Kostnader andre kurs</t>
  </si>
  <si>
    <t>Premiekostnader inkl. plaketter/lotteri</t>
  </si>
  <si>
    <t>Honorarer</t>
  </si>
  <si>
    <t>Utgifter knyttet til tilskudd</t>
  </si>
  <si>
    <t>Avskrivninger</t>
  </si>
  <si>
    <t>Leie lokaler</t>
  </si>
  <si>
    <t>Verktøy, kontorutstyr, inventar</t>
  </si>
  <si>
    <t>Kontorrekvisita/edbkostnader</t>
  </si>
  <si>
    <t>Kurskostnader</t>
  </si>
  <si>
    <t>Telefonkostnader</t>
  </si>
  <si>
    <t>Portokostnader</t>
  </si>
  <si>
    <t>Reklamekostnader</t>
  </si>
  <si>
    <t>Kontingenter</t>
  </si>
  <si>
    <t>Gaver/oppmerksomhet/kondolanse</t>
  </si>
  <si>
    <t>Forsikringer</t>
  </si>
  <si>
    <t>Medlemsmøtekostnader</t>
  </si>
  <si>
    <t>Avlsrådsmøtekostnader</t>
  </si>
  <si>
    <t>Styremøtekostnader</t>
  </si>
  <si>
    <t>Generalforsamlings/årsmøtekostnader</t>
  </si>
  <si>
    <t>Diverse kostnader</t>
  </si>
  <si>
    <t>Sum kostnader</t>
  </si>
  <si>
    <t>Resultat før finanskostnader</t>
  </si>
  <si>
    <t>Finansposter:</t>
  </si>
  <si>
    <t>Renteinntekter</t>
  </si>
  <si>
    <t>Rentekostnader</t>
  </si>
  <si>
    <t>Annen finanskostnad</t>
  </si>
  <si>
    <t>Netto finansposter</t>
  </si>
  <si>
    <t>Overskudd/underskudd(-)</t>
  </si>
  <si>
    <t>Noter:</t>
  </si>
  <si>
    <t>Eiendeler:</t>
  </si>
  <si>
    <t>Inventar og kontorutstyr</t>
  </si>
  <si>
    <t>Inkapokalen</t>
  </si>
  <si>
    <t>Æresnåler og hederstegn</t>
  </si>
  <si>
    <t>Klubbeffekter</t>
  </si>
  <si>
    <t>Sum inventar og lignende</t>
  </si>
  <si>
    <t>Kundefordringer</t>
  </si>
  <si>
    <t>Andre fordringer</t>
  </si>
  <si>
    <t>Kontanter</t>
  </si>
  <si>
    <t>Bank-driftskonto gammel</t>
  </si>
  <si>
    <t>Bank-driftskonto ny</t>
  </si>
  <si>
    <t>Bank-høyrentekonto</t>
  </si>
  <si>
    <t>Sum kontanter og bank</t>
  </si>
  <si>
    <t>Sum eiendeler</t>
  </si>
  <si>
    <t>Gjeld og egenkapital:</t>
  </si>
  <si>
    <t>Egenkapital:</t>
  </si>
  <si>
    <t>Egenkapital forrige år</t>
  </si>
  <si>
    <t>Resultat i år</t>
  </si>
  <si>
    <t>Sum egenkapital i år</t>
  </si>
  <si>
    <t>Gjeld:</t>
  </si>
  <si>
    <t>Leverandørgjeld</t>
  </si>
  <si>
    <t>Forskudd fra medlemmer kontingent</t>
  </si>
  <si>
    <t>Andel kont. gruppeløse medlemmer</t>
  </si>
  <si>
    <t>Annen kortsiktig gjeld</t>
  </si>
  <si>
    <t>Sum gjeld</t>
  </si>
  <si>
    <t>Sum gjeld og egenkapital</t>
  </si>
  <si>
    <t>Inntekter Trondheim Hundefestival + spesial</t>
  </si>
  <si>
    <t>Kostnader Hundefestivalen + Spesialen</t>
  </si>
  <si>
    <t>Inntekter medlemsmøter/medlemsaktiviteter</t>
  </si>
  <si>
    <t>Andre inntekter (mva.kompensasjon), dugnad</t>
  </si>
  <si>
    <t>16  351</t>
  </si>
  <si>
    <t>Regnskap 2024</t>
  </si>
  <si>
    <t>Rapportperiode 01.01.2024 - 31.12.2024</t>
  </si>
  <si>
    <t>Budsjettforslag 2025</t>
  </si>
  <si>
    <t>avd Midt-Norge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</si>
</sst>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 x14ac:knownFonts="1">
    <font>
      <sz val="10"/>
      <name val="Arial"/>
    </font>
    <font>
      <b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 vertical="top"/>
    </xf>
    <xf numFmtId="0" fontId="2" fillId="0" borderId="0" xfId="0" applyFont="1"/>
    <xf numFmtId="0" fontId="2" fillId="0" borderId="0" xfId="0" quotePrefix="1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8" fillId="0" borderId="0" xfId="0" applyNumberFormat="1" applyFont="1"/>
    <xf numFmtId="0" fontId="8" fillId="2" borderId="1" xfId="0" applyFont="1" applyFill="1" applyBorder="1"/>
    <xf numFmtId="3" fontId="8" fillId="2" borderId="1" xfId="0" applyNumberFormat="1" applyFont="1" applyFill="1" applyBorder="1"/>
    <xf numFmtId="0" fontId="9" fillId="0" borderId="0" xfId="0" applyFont="1"/>
    <xf numFmtId="4" fontId="5" fillId="0" borderId="0" xfId="0" applyNumberFormat="1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5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top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/>
    <xf numFmtId="3" fontId="8" fillId="2" borderId="1" xfId="0" applyNumberFormat="1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right" vertical="top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center"/>
    </xf>
    <xf numFmtId="4" fontId="9" fillId="0" borderId="0" xfId="0" applyNumberFormat="1" applyFont="1"/>
    <xf numFmtId="164" fontId="5" fillId="0" borderId="0" xfId="1" applyFont="1"/>
    <xf numFmtId="3" fontId="5" fillId="3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9" fillId="3" borderId="0" xfId="0" applyNumberFormat="1" applyFont="1" applyFill="1"/>
    <xf numFmtId="3" fontId="9" fillId="3" borderId="0" xfId="0" applyNumberFormat="1" applyFont="1" applyFill="1" applyAlignment="1">
      <alignment horizontal="right" vertical="top"/>
    </xf>
    <xf numFmtId="3" fontId="9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4" fillId="3" borderId="0" xfId="0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8" fillId="4" borderId="0" xfId="0" applyNumberFormat="1" applyFont="1" applyFill="1"/>
    <xf numFmtId="3" fontId="9" fillId="4" borderId="0" xfId="0" applyNumberFormat="1" applyFont="1" applyFill="1"/>
    <xf numFmtId="3" fontId="9" fillId="4" borderId="0" xfId="0" applyNumberFormat="1" applyFont="1" applyFill="1" applyAlignment="1">
      <alignment horizontal="right" vertical="top"/>
    </xf>
    <xf numFmtId="3" fontId="9" fillId="4" borderId="0" xfId="0" applyNumberFormat="1" applyFont="1" applyFill="1" applyAlignment="1">
      <alignment horizontal="right"/>
    </xf>
    <xf numFmtId="3" fontId="8" fillId="4" borderId="0" xfId="0" applyNumberFormat="1" applyFont="1" applyFill="1" applyAlignment="1">
      <alignment horizontal="right"/>
    </xf>
    <xf numFmtId="3" fontId="14" fillId="4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" fontId="8" fillId="0" borderId="1" xfId="0" applyNumberFormat="1" applyFont="1" applyBorder="1" applyAlignment="1">
      <alignment horizontal="right"/>
    </xf>
    <xf numFmtId="0" fontId="8" fillId="5" borderId="1" xfId="0" applyFont="1" applyFill="1" applyBorder="1"/>
    <xf numFmtId="3" fontId="8" fillId="5" borderId="1" xfId="0" applyNumberFormat="1" applyFont="1" applyFill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/>
    <xf numFmtId="0" fontId="9" fillId="0" borderId="2" xfId="0" applyFont="1" applyBorder="1"/>
    <xf numFmtId="3" fontId="9" fillId="3" borderId="2" xfId="0" applyNumberFormat="1" applyFont="1" applyFill="1" applyBorder="1"/>
    <xf numFmtId="3" fontId="9" fillId="0" borderId="2" xfId="0" applyNumberFormat="1" applyFont="1" applyBorder="1"/>
    <xf numFmtId="0" fontId="5" fillId="0" borderId="2" xfId="0" applyFont="1" applyBorder="1"/>
    <xf numFmtId="0" fontId="8" fillId="0" borderId="2" xfId="0" applyFont="1" applyBorder="1"/>
    <xf numFmtId="3" fontId="8" fillId="3" borderId="2" xfId="0" applyNumberFormat="1" applyFont="1" applyFill="1" applyBorder="1"/>
    <xf numFmtId="3" fontId="8" fillId="0" borderId="2" xfId="0" applyNumberFormat="1" applyFont="1" applyBorder="1"/>
    <xf numFmtId="0" fontId="9" fillId="0" borderId="2" xfId="0" applyFont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3" fontId="9" fillId="4" borderId="2" xfId="0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/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2" xfId="0" applyFont="1" applyFill="1" applyBorder="1" applyAlignment="1">
      <alignment horizontal="center"/>
    </xf>
    <xf numFmtId="3" fontId="5" fillId="6" borderId="0" xfId="0" applyNumberFormat="1" applyFont="1" applyFill="1" applyAlignment="1">
      <alignment horizontal="right"/>
    </xf>
    <xf numFmtId="3" fontId="8" fillId="6" borderId="0" xfId="0" applyNumberFormat="1" applyFont="1" applyFill="1"/>
    <xf numFmtId="3" fontId="9" fillId="6" borderId="0" xfId="0" applyNumberFormat="1" applyFont="1" applyFill="1"/>
    <xf numFmtId="3" fontId="9" fillId="6" borderId="0" xfId="0" applyNumberFormat="1" applyFont="1" applyFill="1" applyAlignment="1">
      <alignment horizontal="right" vertical="top"/>
    </xf>
    <xf numFmtId="3" fontId="9" fillId="6" borderId="0" xfId="0" applyNumberFormat="1" applyFont="1" applyFill="1" applyAlignment="1">
      <alignment horizontal="right"/>
    </xf>
    <xf numFmtId="3" fontId="9" fillId="6" borderId="2" xfId="0" applyNumberFormat="1" applyFont="1" applyFill="1" applyBorder="1" applyAlignment="1">
      <alignment horizontal="right"/>
    </xf>
    <xf numFmtId="3" fontId="8" fillId="6" borderId="0" xfId="0" applyNumberFormat="1" applyFont="1" applyFill="1" applyAlignment="1">
      <alignment horizontal="right"/>
    </xf>
    <xf numFmtId="3" fontId="14" fillId="6" borderId="0" xfId="0" applyNumberFormat="1" applyFont="1" applyFill="1" applyAlignment="1">
      <alignment horizontal="right"/>
    </xf>
    <xf numFmtId="3" fontId="5" fillId="6" borderId="2" xfId="0" applyNumberFormat="1" applyFont="1" applyFill="1" applyBorder="1" applyAlignment="1">
      <alignment horizontal="right"/>
    </xf>
    <xf numFmtId="0" fontId="5" fillId="6" borderId="0" xfId="0" applyFont="1" applyFill="1"/>
    <xf numFmtId="3" fontId="9" fillId="6" borderId="2" xfId="0" applyNumberFormat="1" applyFont="1" applyFill="1" applyBorder="1"/>
    <xf numFmtId="3" fontId="5" fillId="6" borderId="0" xfId="0" applyNumberFormat="1" applyFont="1" applyFill="1"/>
    <xf numFmtId="3" fontId="8" fillId="6" borderId="2" xfId="0" applyNumberFormat="1" applyFont="1" applyFill="1" applyBorder="1"/>
    <xf numFmtId="14" fontId="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971550</xdr:colOff>
      <xdr:row>3</xdr:row>
      <xdr:rowOff>9525</xdr:rowOff>
    </xdr:to>
    <xdr:pic>
      <xdr:nvPicPr>
        <xdr:cNvPr id="1025" name="Picture 1" descr="logo_60_ar_500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9050"/>
          <a:ext cx="962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971550</xdr:colOff>
      <xdr:row>3</xdr:row>
      <xdr:rowOff>9525</xdr:rowOff>
    </xdr:to>
    <xdr:pic>
      <xdr:nvPicPr>
        <xdr:cNvPr id="2049" name="Picture 1" descr="logo_60_ar_500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9050"/>
          <a:ext cx="962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581025</xdr:colOff>
      <xdr:row>2</xdr:row>
      <xdr:rowOff>314325</xdr:rowOff>
    </xdr:to>
    <xdr:pic>
      <xdr:nvPicPr>
        <xdr:cNvPr id="3073" name="Picture 2" descr="logo_60_ar_500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9525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workbookViewId="0">
      <selection activeCell="A4" sqref="A4"/>
    </sheetView>
  </sheetViews>
  <sheetFormatPr baseColWidth="10" defaultColWidth="11.453125" defaultRowHeight="13" x14ac:dyDescent="0.3"/>
  <cols>
    <col min="1" max="1" width="7.81640625" style="7" customWidth="1"/>
    <col min="2" max="2" width="33.6328125" style="6" customWidth="1"/>
    <col min="3" max="3" width="12.1796875" style="6" customWidth="1"/>
    <col min="4" max="6" width="11.6328125" style="6" customWidth="1"/>
    <col min="7" max="16384" width="11.453125" style="6"/>
  </cols>
  <sheetData>
    <row r="1" spans="1:6" s="20" customFormat="1" ht="26" x14ac:dyDescent="0.25">
      <c r="A1" s="101" t="s">
        <v>0</v>
      </c>
      <c r="B1" s="101"/>
      <c r="C1" s="101"/>
      <c r="D1" s="101"/>
      <c r="E1" s="101"/>
      <c r="F1" s="101"/>
    </row>
    <row r="2" spans="1:6" hidden="1" x14ac:dyDescent="0.3"/>
    <row r="3" spans="1:6" ht="26" x14ac:dyDescent="0.6">
      <c r="A3" s="102" t="s">
        <v>80</v>
      </c>
      <c r="B3" s="102"/>
      <c r="C3" s="102"/>
      <c r="D3" s="102"/>
      <c r="E3" s="102"/>
      <c r="F3" s="102"/>
    </row>
    <row r="16" spans="1:6" ht="15.5" x14ac:dyDescent="0.35">
      <c r="C16" s="21"/>
      <c r="D16" s="21"/>
      <c r="E16" s="21"/>
      <c r="F16" s="21"/>
    </row>
    <row r="17" spans="1:6" s="10" customFormat="1" ht="26" x14ac:dyDescent="0.6">
      <c r="A17" s="22"/>
      <c r="B17" s="103" t="s">
        <v>77</v>
      </c>
      <c r="C17" s="103"/>
      <c r="D17" s="103"/>
      <c r="E17" s="103"/>
      <c r="F17" s="21"/>
    </row>
    <row r="18" spans="1:6" x14ac:dyDescent="0.3">
      <c r="C18" s="11"/>
      <c r="D18" s="11"/>
      <c r="E18" s="11"/>
      <c r="F18" s="11"/>
    </row>
    <row r="19" spans="1:6" s="10" customFormat="1" ht="15.5" x14ac:dyDescent="0.35">
      <c r="A19" s="21"/>
      <c r="B19" s="104" t="s">
        <v>78</v>
      </c>
      <c r="C19" s="104"/>
      <c r="D19" s="104"/>
      <c r="E19" s="104"/>
      <c r="F19" s="13"/>
    </row>
    <row r="20" spans="1:6" x14ac:dyDescent="0.3">
      <c r="A20" s="23"/>
      <c r="C20" s="12"/>
      <c r="D20" s="12"/>
      <c r="E20" s="12"/>
      <c r="F20" s="12"/>
    </row>
    <row r="21" spans="1:6" x14ac:dyDescent="0.3">
      <c r="A21" s="23"/>
      <c r="C21" s="24"/>
      <c r="D21" s="12"/>
      <c r="E21" s="12"/>
      <c r="F21" s="12"/>
    </row>
    <row r="22" spans="1:6" ht="21" x14ac:dyDescent="0.5">
      <c r="A22" s="23"/>
      <c r="B22" s="100" t="s">
        <v>1</v>
      </c>
      <c r="C22" s="100"/>
      <c r="D22" s="100"/>
      <c r="E22" s="100"/>
      <c r="F22" s="11"/>
    </row>
    <row r="23" spans="1:6" ht="21" x14ac:dyDescent="0.5">
      <c r="A23" s="23"/>
      <c r="B23" s="100" t="s">
        <v>2</v>
      </c>
      <c r="C23" s="100"/>
      <c r="D23" s="100"/>
      <c r="E23" s="100"/>
      <c r="F23" s="12"/>
    </row>
    <row r="24" spans="1:6" ht="21" x14ac:dyDescent="0.5">
      <c r="A24" s="23"/>
      <c r="B24" s="100" t="s">
        <v>79</v>
      </c>
      <c r="C24" s="100"/>
      <c r="D24" s="100"/>
      <c r="E24" s="100"/>
      <c r="F24" s="11"/>
    </row>
    <row r="25" spans="1:6" x14ac:dyDescent="0.3">
      <c r="A25" s="23"/>
      <c r="C25" s="11"/>
      <c r="D25" s="11"/>
      <c r="E25" s="11"/>
      <c r="F25" s="11"/>
    </row>
    <row r="26" spans="1:6" x14ac:dyDescent="0.3">
      <c r="A26" s="23"/>
      <c r="C26" s="11"/>
      <c r="D26" s="11"/>
      <c r="E26" s="11"/>
      <c r="F26" s="11"/>
    </row>
    <row r="27" spans="1:6" x14ac:dyDescent="0.3">
      <c r="A27" s="23"/>
      <c r="C27" s="11"/>
      <c r="D27" s="12"/>
      <c r="E27" s="11"/>
      <c r="F27" s="12"/>
    </row>
    <row r="28" spans="1:6" x14ac:dyDescent="0.3">
      <c r="A28" s="23"/>
      <c r="C28" s="11"/>
      <c r="D28" s="12"/>
      <c r="E28" s="11"/>
      <c r="F28" s="12"/>
    </row>
    <row r="29" spans="1:6" s="10" customFormat="1" ht="15.5" x14ac:dyDescent="0.35">
      <c r="A29" s="21"/>
      <c r="C29" s="25"/>
      <c r="D29" s="13"/>
      <c r="E29" s="25"/>
      <c r="F29" s="13"/>
    </row>
    <row r="30" spans="1:6" x14ac:dyDescent="0.3">
      <c r="A30" s="23"/>
      <c r="C30" s="11"/>
      <c r="D30" s="12"/>
      <c r="E30" s="11"/>
      <c r="F30" s="12"/>
    </row>
    <row r="31" spans="1:6" s="10" customFormat="1" ht="15.5" x14ac:dyDescent="0.35">
      <c r="A31" s="21"/>
      <c r="C31" s="25"/>
      <c r="D31" s="13"/>
      <c r="E31" s="25"/>
      <c r="F31" s="13"/>
    </row>
    <row r="32" spans="1:6" s="10" customFormat="1" ht="12.75" customHeight="1" x14ac:dyDescent="0.35">
      <c r="A32" s="23"/>
      <c r="B32" s="6"/>
      <c r="C32" s="26"/>
      <c r="D32" s="27"/>
      <c r="E32" s="26"/>
      <c r="F32" s="27"/>
    </row>
    <row r="33" spans="1:6" s="10" customFormat="1" ht="12.75" customHeight="1" x14ac:dyDescent="0.35">
      <c r="A33" s="23"/>
      <c r="B33" s="6"/>
      <c r="C33" s="26"/>
      <c r="D33" s="27"/>
      <c r="E33" s="26"/>
      <c r="F33" s="27"/>
    </row>
    <row r="34" spans="1:6" s="10" customFormat="1" ht="12.75" customHeight="1" x14ac:dyDescent="0.35">
      <c r="A34" s="23"/>
      <c r="B34" s="6"/>
      <c r="C34" s="11"/>
      <c r="D34" s="12"/>
      <c r="E34" s="11"/>
      <c r="F34" s="12"/>
    </row>
    <row r="35" spans="1:6" s="10" customFormat="1" ht="12.75" customHeight="1" x14ac:dyDescent="0.35">
      <c r="A35" s="23"/>
      <c r="B35" s="6"/>
      <c r="C35" s="11"/>
      <c r="D35" s="11"/>
      <c r="E35" s="11"/>
      <c r="F35" s="11"/>
    </row>
    <row r="36" spans="1:6" s="10" customFormat="1" ht="12.75" customHeight="1" x14ac:dyDescent="0.35">
      <c r="A36" s="23"/>
      <c r="B36" s="6"/>
      <c r="C36" s="11"/>
      <c r="D36" s="12"/>
      <c r="E36" s="11"/>
      <c r="F36" s="12"/>
    </row>
    <row r="37" spans="1:6" s="10" customFormat="1" ht="12.75" customHeight="1" x14ac:dyDescent="0.35">
      <c r="A37" s="23"/>
      <c r="B37" s="6"/>
      <c r="C37" s="11"/>
      <c r="D37" s="11"/>
      <c r="E37" s="11"/>
      <c r="F37" s="12"/>
    </row>
    <row r="38" spans="1:6" s="10" customFormat="1" ht="12.75" customHeight="1" x14ac:dyDescent="0.35">
      <c r="A38" s="23"/>
      <c r="B38" s="6"/>
      <c r="C38" s="11"/>
      <c r="D38" s="11"/>
      <c r="E38" s="11"/>
      <c r="F38" s="12"/>
    </row>
    <row r="39" spans="1:6" s="10" customFormat="1" ht="12.75" customHeight="1" x14ac:dyDescent="0.35">
      <c r="A39" s="23"/>
      <c r="B39" s="6"/>
      <c r="C39" s="11"/>
      <c r="D39" s="12"/>
      <c r="E39" s="11"/>
      <c r="F39" s="12"/>
    </row>
    <row r="40" spans="1:6" s="10" customFormat="1" ht="12.75" customHeight="1" x14ac:dyDescent="0.35">
      <c r="A40" s="23"/>
      <c r="B40" s="6"/>
      <c r="C40" s="11"/>
      <c r="D40" s="12"/>
      <c r="E40" s="11"/>
      <c r="F40" s="12"/>
    </row>
    <row r="41" spans="1:6" x14ac:dyDescent="0.3">
      <c r="A41" s="23"/>
      <c r="C41" s="11"/>
      <c r="D41" s="12"/>
      <c r="E41" s="11"/>
      <c r="F41" s="12"/>
    </row>
    <row r="42" spans="1:6" x14ac:dyDescent="0.3">
      <c r="A42" s="23"/>
      <c r="C42" s="11"/>
      <c r="D42" s="11"/>
      <c r="E42" s="11"/>
      <c r="F42" s="12"/>
    </row>
    <row r="43" spans="1:6" x14ac:dyDescent="0.3">
      <c r="A43" s="23"/>
      <c r="C43" s="11"/>
      <c r="D43" s="12"/>
      <c r="E43" s="11"/>
      <c r="F43" s="12"/>
    </row>
    <row r="44" spans="1:6" x14ac:dyDescent="0.3">
      <c r="A44" s="23"/>
      <c r="C44" s="11"/>
      <c r="D44" s="11"/>
      <c r="E44" s="11"/>
      <c r="F44" s="11"/>
    </row>
    <row r="45" spans="1:6" x14ac:dyDescent="0.3">
      <c r="A45" s="23"/>
      <c r="C45" s="11"/>
      <c r="D45" s="12"/>
      <c r="E45" s="11"/>
      <c r="F45" s="12"/>
    </row>
    <row r="46" spans="1:6" x14ac:dyDescent="0.3">
      <c r="A46" s="23"/>
      <c r="C46" s="11"/>
      <c r="D46" s="11"/>
      <c r="E46" s="11"/>
      <c r="F46" s="11"/>
    </row>
    <row r="47" spans="1:6" x14ac:dyDescent="0.3">
      <c r="A47" s="23"/>
      <c r="C47" s="11"/>
      <c r="D47" s="11"/>
      <c r="E47" s="11"/>
      <c r="F47" s="11"/>
    </row>
    <row r="48" spans="1:6" x14ac:dyDescent="0.3">
      <c r="A48" s="23"/>
      <c r="C48" s="11"/>
      <c r="D48" s="12"/>
      <c r="E48" s="11"/>
      <c r="F48" s="12"/>
    </row>
    <row r="49" spans="1:6" x14ac:dyDescent="0.3">
      <c r="A49" s="23"/>
      <c r="C49" s="11"/>
      <c r="D49" s="12"/>
      <c r="E49" s="11"/>
      <c r="F49" s="12"/>
    </row>
    <row r="50" spans="1:6" x14ac:dyDescent="0.3">
      <c r="A50" s="23"/>
      <c r="C50" s="11"/>
      <c r="D50" s="11"/>
      <c r="E50" s="11"/>
      <c r="F50" s="12"/>
    </row>
    <row r="51" spans="1:6" x14ac:dyDescent="0.3">
      <c r="A51" s="23"/>
      <c r="C51" s="11"/>
      <c r="D51" s="12"/>
      <c r="E51" s="11"/>
      <c r="F51" s="12"/>
    </row>
    <row r="52" spans="1:6" x14ac:dyDescent="0.3">
      <c r="A52" s="23"/>
      <c r="C52" s="11"/>
      <c r="D52" s="11"/>
      <c r="E52" s="11"/>
      <c r="F52" s="12"/>
    </row>
    <row r="53" spans="1:6" ht="15.5" x14ac:dyDescent="0.35">
      <c r="A53" s="23"/>
      <c r="C53" s="26"/>
      <c r="D53" s="27"/>
      <c r="E53" s="26"/>
      <c r="F53" s="27"/>
    </row>
    <row r="54" spans="1:6" x14ac:dyDescent="0.3">
      <c r="A54" s="23"/>
      <c r="C54" s="11"/>
      <c r="D54" s="11"/>
      <c r="E54" s="11"/>
      <c r="F54" s="12"/>
    </row>
    <row r="55" spans="1:6" x14ac:dyDescent="0.3">
      <c r="A55" s="23"/>
      <c r="C55" s="11"/>
      <c r="D55" s="11"/>
      <c r="E55" s="11"/>
      <c r="F55" s="12"/>
    </row>
    <row r="56" spans="1:6" x14ac:dyDescent="0.3">
      <c r="A56" s="23"/>
      <c r="C56" s="11"/>
      <c r="D56" s="12"/>
      <c r="E56" s="11"/>
      <c r="F56" s="12"/>
    </row>
    <row r="57" spans="1:6" s="10" customFormat="1" ht="15.5" x14ac:dyDescent="0.35">
      <c r="A57" s="21"/>
      <c r="C57" s="25"/>
      <c r="D57" s="13"/>
      <c r="E57" s="25"/>
      <c r="F57" s="13"/>
    </row>
    <row r="58" spans="1:6" x14ac:dyDescent="0.3">
      <c r="A58" s="23"/>
      <c r="C58" s="11"/>
      <c r="D58" s="12"/>
      <c r="E58" s="11"/>
      <c r="F58" s="12"/>
    </row>
    <row r="59" spans="1:6" s="10" customFormat="1" ht="15.5" x14ac:dyDescent="0.35">
      <c r="A59" s="21"/>
      <c r="C59" s="25"/>
      <c r="D59" s="13"/>
      <c r="E59" s="25"/>
      <c r="F59" s="13"/>
    </row>
    <row r="60" spans="1:6" x14ac:dyDescent="0.3">
      <c r="A60" s="23"/>
      <c r="C60" s="11"/>
      <c r="D60" s="12"/>
      <c r="E60" s="11"/>
      <c r="F60" s="12"/>
    </row>
    <row r="61" spans="1:6" s="10" customFormat="1" ht="15.5" x14ac:dyDescent="0.35">
      <c r="A61" s="21"/>
      <c r="C61" s="25"/>
      <c r="D61" s="13"/>
      <c r="E61" s="25"/>
      <c r="F61" s="13"/>
    </row>
    <row r="62" spans="1:6" x14ac:dyDescent="0.3">
      <c r="A62" s="23"/>
      <c r="C62" s="11"/>
      <c r="D62" s="12"/>
      <c r="E62" s="11"/>
      <c r="F62" s="12"/>
    </row>
    <row r="63" spans="1:6" x14ac:dyDescent="0.3">
      <c r="A63" s="23"/>
      <c r="C63" s="11"/>
      <c r="D63" s="12"/>
      <c r="E63" s="11"/>
      <c r="F63" s="12"/>
    </row>
    <row r="64" spans="1:6" x14ac:dyDescent="0.3">
      <c r="A64" s="23"/>
      <c r="C64" s="11"/>
      <c r="D64" s="11"/>
      <c r="E64" s="11"/>
      <c r="F64" s="12"/>
    </row>
  </sheetData>
  <mergeCells count="7">
    <mergeCell ref="B24:E24"/>
    <mergeCell ref="B23:E23"/>
    <mergeCell ref="A1:F1"/>
    <mergeCell ref="A3:F3"/>
    <mergeCell ref="B17:E17"/>
    <mergeCell ref="B19:E19"/>
    <mergeCell ref="B22:E22"/>
  </mergeCells>
  <phoneticPr fontId="3" type="noConversion"/>
  <pageMargins left="0.78740157480314965" right="0.39370078740157483" top="0.39370078740157483" bottom="0.39370078740157483" header="0" footer="0"/>
  <pageSetup paperSize="9" scale="93" orientation="portrait" r:id="rId1"/>
  <headerFooter alignWithMargins="0">
    <oddFooter>&amp;L&amp;1#&amp;"Times New Roman"&amp;8&amp;K000000Sensitivity: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62"/>
  <sheetViews>
    <sheetView zoomScaleNormal="100" zoomScaleSheetLayoutView="85" workbookViewId="0">
      <selection activeCell="A4" sqref="A4"/>
    </sheetView>
  </sheetViews>
  <sheetFormatPr baseColWidth="10" defaultColWidth="11.453125" defaultRowHeight="12.5" x14ac:dyDescent="0.25"/>
  <cols>
    <col min="1" max="1" width="7.81640625" style="1" customWidth="1"/>
    <col min="2" max="2" width="41" bestFit="1" customWidth="1"/>
    <col min="3" max="4" width="10.36328125" customWidth="1"/>
    <col min="5" max="6" width="10.36328125" bestFit="1" customWidth="1"/>
    <col min="7" max="7" width="10.36328125" customWidth="1"/>
    <col min="8" max="17" width="10.36328125" hidden="1" customWidth="1"/>
    <col min="18" max="18" width="9.1796875" hidden="1" customWidth="1"/>
    <col min="19" max="19" width="10.36328125" hidden="1" customWidth="1"/>
    <col min="20" max="20" width="9.1796875" hidden="1" customWidth="1"/>
    <col min="21" max="21" width="10.36328125" hidden="1" customWidth="1"/>
    <col min="22" max="22" width="9.1796875" hidden="1" customWidth="1"/>
    <col min="23" max="26" width="10.36328125" hidden="1" customWidth="1"/>
  </cols>
  <sheetData>
    <row r="1" spans="1:33" s="3" customFormat="1" ht="26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0"/>
    </row>
    <row r="2" spans="1:33" ht="13" hidden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33" ht="26" x14ac:dyDescent="0.6">
      <c r="A3" s="102" t="s">
        <v>80</v>
      </c>
      <c r="B3" s="102"/>
      <c r="C3" s="102"/>
      <c r="D3" s="102"/>
      <c r="E3" s="102"/>
      <c r="F3" s="102"/>
      <c r="G3" s="102"/>
      <c r="H3" s="102"/>
      <c r="I3" s="10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6"/>
    </row>
    <row r="4" spans="1:33" ht="13" x14ac:dyDescent="0.3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33" ht="15.5" x14ac:dyDescent="0.35">
      <c r="A5" s="7"/>
      <c r="B5" s="6"/>
      <c r="C5" s="82" t="s">
        <v>3</v>
      </c>
      <c r="D5" s="54" t="s">
        <v>4</v>
      </c>
      <c r="E5" s="82" t="s">
        <v>3</v>
      </c>
      <c r="F5" s="54" t="s">
        <v>4</v>
      </c>
      <c r="G5" s="82" t="s">
        <v>3</v>
      </c>
      <c r="H5" s="37" t="s">
        <v>3</v>
      </c>
      <c r="I5" s="55" t="s">
        <v>3</v>
      </c>
      <c r="J5" s="37" t="s">
        <v>3</v>
      </c>
      <c r="K5" s="37" t="s">
        <v>4</v>
      </c>
      <c r="L5" s="37" t="s">
        <v>3</v>
      </c>
      <c r="M5" s="37" t="s">
        <v>4</v>
      </c>
      <c r="N5" s="55" t="s">
        <v>3</v>
      </c>
      <c r="O5" s="37" t="s">
        <v>4</v>
      </c>
      <c r="P5" s="37" t="s">
        <v>3</v>
      </c>
      <c r="Q5" s="37" t="s">
        <v>4</v>
      </c>
      <c r="R5" s="37" t="s">
        <v>3</v>
      </c>
      <c r="S5" s="37" t="s">
        <v>4</v>
      </c>
      <c r="T5" s="21" t="s">
        <v>3</v>
      </c>
      <c r="U5" s="21" t="s">
        <v>4</v>
      </c>
      <c r="V5" s="21" t="s">
        <v>3</v>
      </c>
      <c r="W5" s="21" t="s">
        <v>4</v>
      </c>
      <c r="X5" s="21" t="s">
        <v>4</v>
      </c>
      <c r="Y5" s="21" t="s">
        <v>4</v>
      </c>
      <c r="Z5" s="21" t="s">
        <v>4</v>
      </c>
      <c r="AA5" s="54" t="s">
        <v>4</v>
      </c>
      <c r="AB5" s="82" t="s">
        <v>3</v>
      </c>
      <c r="AC5" s="54" t="s">
        <v>4</v>
      </c>
      <c r="AD5" s="55" t="s">
        <v>4</v>
      </c>
      <c r="AE5" s="37" t="s">
        <v>4</v>
      </c>
      <c r="AF5" s="37" t="s">
        <v>4</v>
      </c>
      <c r="AG5" s="37"/>
    </row>
    <row r="6" spans="1:33" s="2" customFormat="1" ht="23.5" x14ac:dyDescent="0.55000000000000004">
      <c r="A6" s="77"/>
      <c r="B6" s="78" t="s">
        <v>1</v>
      </c>
      <c r="C6" s="83">
        <v>2025</v>
      </c>
      <c r="D6" s="79">
        <v>2024</v>
      </c>
      <c r="E6" s="83">
        <v>2024</v>
      </c>
      <c r="F6" s="79">
        <v>2023</v>
      </c>
      <c r="G6" s="83">
        <v>2023</v>
      </c>
      <c r="H6" s="81">
        <v>2019</v>
      </c>
      <c r="I6" s="80">
        <v>2020</v>
      </c>
      <c r="J6" s="81">
        <v>2018</v>
      </c>
      <c r="K6" s="81">
        <v>2017</v>
      </c>
      <c r="L6" s="81">
        <v>2017</v>
      </c>
      <c r="M6" s="81">
        <v>2016</v>
      </c>
      <c r="N6" s="80">
        <v>2016</v>
      </c>
      <c r="O6" s="81">
        <v>2015</v>
      </c>
      <c r="P6" s="81">
        <v>2015</v>
      </c>
      <c r="Q6" s="81">
        <v>2014</v>
      </c>
      <c r="R6" s="81">
        <v>2014</v>
      </c>
      <c r="S6" s="81">
        <v>2013</v>
      </c>
      <c r="T6" s="81">
        <v>2013</v>
      </c>
      <c r="U6" s="81">
        <v>2012</v>
      </c>
      <c r="V6" s="81">
        <v>2012</v>
      </c>
      <c r="W6" s="81">
        <v>2011</v>
      </c>
      <c r="X6" s="81">
        <v>2010</v>
      </c>
      <c r="Y6" s="81">
        <v>2009</v>
      </c>
      <c r="Z6" s="81">
        <v>2008</v>
      </c>
      <c r="AA6" s="79">
        <v>2022</v>
      </c>
      <c r="AB6" s="83">
        <v>2022</v>
      </c>
      <c r="AC6" s="79">
        <v>2021</v>
      </c>
      <c r="AD6" s="80">
        <v>2020</v>
      </c>
      <c r="AE6" s="81">
        <v>2019</v>
      </c>
      <c r="AF6" s="81">
        <v>2018</v>
      </c>
      <c r="AG6" s="81"/>
    </row>
    <row r="7" spans="1:33" ht="13" x14ac:dyDescent="0.3">
      <c r="A7" s="7"/>
      <c r="B7" s="6"/>
      <c r="C7" s="84"/>
      <c r="D7" s="40"/>
      <c r="E7" s="84"/>
      <c r="F7" s="40"/>
      <c r="G7" s="84"/>
      <c r="H7" s="11"/>
      <c r="I7" s="47"/>
      <c r="J7" s="11"/>
      <c r="K7" s="11"/>
      <c r="L7" s="11"/>
      <c r="M7" s="11"/>
      <c r="N7" s="47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6"/>
      <c r="AA7" s="40"/>
      <c r="AB7" s="84"/>
      <c r="AC7" s="40"/>
      <c r="AD7" s="47"/>
      <c r="AE7" s="11"/>
      <c r="AF7" s="11"/>
      <c r="AG7" s="11"/>
    </row>
    <row r="8" spans="1:33" s="2" customFormat="1" ht="15.5" x14ac:dyDescent="0.35">
      <c r="A8" s="21"/>
      <c r="B8" s="10" t="s">
        <v>5</v>
      </c>
      <c r="C8" s="85"/>
      <c r="D8" s="41"/>
      <c r="E8" s="85"/>
      <c r="F8" s="41"/>
      <c r="G8" s="85"/>
      <c r="H8" s="13"/>
      <c r="I8" s="48"/>
      <c r="J8" s="13"/>
      <c r="K8" s="13"/>
      <c r="L8" s="13"/>
      <c r="M8" s="13"/>
      <c r="N8" s="48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0"/>
      <c r="AA8" s="41"/>
      <c r="AB8" s="85"/>
      <c r="AC8" s="41"/>
      <c r="AD8" s="48"/>
      <c r="AE8" s="13"/>
      <c r="AF8" s="13"/>
      <c r="AG8" s="13"/>
    </row>
    <row r="9" spans="1:33" ht="14.5" x14ac:dyDescent="0.35">
      <c r="A9" s="32">
        <v>3000</v>
      </c>
      <c r="B9" s="16" t="s">
        <v>6</v>
      </c>
      <c r="C9" s="86">
        <v>10000</v>
      </c>
      <c r="D9" s="42">
        <v>8890</v>
      </c>
      <c r="E9" s="86">
        <v>10000</v>
      </c>
      <c r="F9" s="42">
        <v>10950</v>
      </c>
      <c r="G9" s="86">
        <v>5500</v>
      </c>
      <c r="H9" s="19">
        <v>4500</v>
      </c>
      <c r="I9" s="49">
        <v>4500</v>
      </c>
      <c r="J9" s="19">
        <v>4000</v>
      </c>
      <c r="K9" s="19">
        <v>4360</v>
      </c>
      <c r="L9" s="19">
        <v>4000</v>
      </c>
      <c r="M9" s="19">
        <v>4160</v>
      </c>
      <c r="N9" s="49">
        <v>0</v>
      </c>
      <c r="O9" s="19">
        <v>0</v>
      </c>
      <c r="P9" s="19">
        <v>3500</v>
      </c>
      <c r="Q9" s="19">
        <v>3840</v>
      </c>
      <c r="R9" s="19">
        <v>4600</v>
      </c>
      <c r="S9" s="19">
        <v>4600</v>
      </c>
      <c r="T9" s="19">
        <v>5000</v>
      </c>
      <c r="U9" s="19">
        <v>4800</v>
      </c>
      <c r="V9" s="19">
        <v>3500</v>
      </c>
      <c r="W9" s="19">
        <v>3210</v>
      </c>
      <c r="X9" s="19">
        <v>5070</v>
      </c>
      <c r="Y9" s="19">
        <v>0</v>
      </c>
      <c r="Z9" s="19">
        <v>2040</v>
      </c>
      <c r="AA9" s="42">
        <v>9590</v>
      </c>
      <c r="AB9" s="86">
        <v>5000</v>
      </c>
      <c r="AC9" s="42">
        <v>5360</v>
      </c>
      <c r="AD9" s="49">
        <v>5080</v>
      </c>
      <c r="AE9" s="19">
        <v>4920</v>
      </c>
      <c r="AF9" s="19">
        <v>4680</v>
      </c>
      <c r="AG9" s="19"/>
    </row>
    <row r="10" spans="1:33" ht="14.5" x14ac:dyDescent="0.35">
      <c r="A10" s="32">
        <v>3010</v>
      </c>
      <c r="B10" s="16" t="s">
        <v>72</v>
      </c>
      <c r="C10" s="87">
        <v>25000</v>
      </c>
      <c r="D10" s="43">
        <v>41054</v>
      </c>
      <c r="E10" s="87">
        <v>18000</v>
      </c>
      <c r="F10" s="43">
        <v>48673</v>
      </c>
      <c r="G10" s="87">
        <v>30000</v>
      </c>
      <c r="H10" s="33">
        <v>15000</v>
      </c>
      <c r="I10" s="50">
        <v>15000</v>
      </c>
      <c r="J10" s="33">
        <v>15000</v>
      </c>
      <c r="K10" s="33">
        <v>9709</v>
      </c>
      <c r="L10" s="33">
        <v>22500</v>
      </c>
      <c r="M10" s="33">
        <v>19292.419999999998</v>
      </c>
      <c r="N10" s="50">
        <v>25000</v>
      </c>
      <c r="O10" s="33">
        <v>25342.240000000002</v>
      </c>
      <c r="P10" s="33">
        <v>25000</v>
      </c>
      <c r="Q10" s="33">
        <v>20291</v>
      </c>
      <c r="R10" s="33">
        <v>25000</v>
      </c>
      <c r="S10" s="33">
        <v>20338</v>
      </c>
      <c r="T10" s="33">
        <v>25000</v>
      </c>
      <c r="U10" s="33">
        <f>15425+145</f>
        <v>15570</v>
      </c>
      <c r="V10" s="33">
        <v>25000</v>
      </c>
      <c r="W10" s="19">
        <v>24000</v>
      </c>
      <c r="X10" s="19">
        <f>15747+17382</f>
        <v>33129</v>
      </c>
      <c r="Y10" s="19">
        <v>0</v>
      </c>
      <c r="Z10" s="19">
        <f>19901+4200</f>
        <v>24101</v>
      </c>
      <c r="AA10" s="43">
        <f>92460</f>
        <v>92460</v>
      </c>
      <c r="AB10" s="87">
        <v>15000</v>
      </c>
      <c r="AC10" s="43">
        <v>26583</v>
      </c>
      <c r="AD10" s="50">
        <v>0</v>
      </c>
      <c r="AE10" s="33">
        <f>19314+4000</f>
        <v>23314</v>
      </c>
      <c r="AF10" s="33">
        <v>18086</v>
      </c>
      <c r="AG10" s="33"/>
    </row>
    <row r="11" spans="1:33" ht="14.5" x14ac:dyDescent="0.35">
      <c r="A11" s="32">
        <v>3020</v>
      </c>
      <c r="B11" s="16" t="s">
        <v>74</v>
      </c>
      <c r="C11" s="87">
        <v>8000</v>
      </c>
      <c r="D11" s="43">
        <v>8027</v>
      </c>
      <c r="E11" s="87">
        <v>500</v>
      </c>
      <c r="F11" s="43">
        <v>1081</v>
      </c>
      <c r="G11" s="87">
        <v>0</v>
      </c>
      <c r="H11" s="33">
        <v>0</v>
      </c>
      <c r="I11" s="50">
        <v>0</v>
      </c>
      <c r="J11" s="33">
        <v>0</v>
      </c>
      <c r="K11" s="33">
        <v>0</v>
      </c>
      <c r="L11" s="33">
        <v>2000</v>
      </c>
      <c r="M11" s="33">
        <v>0</v>
      </c>
      <c r="N11" s="50">
        <v>2000</v>
      </c>
      <c r="O11" s="33">
        <v>1800</v>
      </c>
      <c r="P11" s="33">
        <v>2000</v>
      </c>
      <c r="Q11" s="33">
        <v>1115</v>
      </c>
      <c r="R11" s="33">
        <v>2000</v>
      </c>
      <c r="S11" s="33">
        <v>1730</v>
      </c>
      <c r="T11" s="33">
        <v>3000</v>
      </c>
      <c r="U11" s="33">
        <v>1870</v>
      </c>
      <c r="V11" s="33">
        <v>4000</v>
      </c>
      <c r="W11" s="18">
        <f>560+610+450+900+745</f>
        <v>3265</v>
      </c>
      <c r="X11" s="18">
        <v>751.5</v>
      </c>
      <c r="Y11" s="18">
        <v>0</v>
      </c>
      <c r="Z11" s="18">
        <f>696+247+575</f>
        <v>1518</v>
      </c>
      <c r="AA11" s="43">
        <v>0</v>
      </c>
      <c r="AB11" s="87">
        <v>0</v>
      </c>
      <c r="AC11" s="43">
        <v>0</v>
      </c>
      <c r="AD11" s="50">
        <v>0</v>
      </c>
      <c r="AE11" s="33">
        <v>0</v>
      </c>
      <c r="AF11" s="33">
        <v>0</v>
      </c>
      <c r="AG11" s="33"/>
    </row>
    <row r="12" spans="1:33" ht="14.5" x14ac:dyDescent="0.35">
      <c r="A12" s="32">
        <v>3100</v>
      </c>
      <c r="B12" s="16" t="s">
        <v>7</v>
      </c>
      <c r="C12" s="87">
        <v>1000</v>
      </c>
      <c r="D12" s="43">
        <v>0</v>
      </c>
      <c r="E12" s="87">
        <v>1500</v>
      </c>
      <c r="F12" s="43">
        <v>2550</v>
      </c>
      <c r="G12" s="87">
        <v>1000</v>
      </c>
      <c r="H12" s="33">
        <v>0</v>
      </c>
      <c r="I12" s="50">
        <v>0</v>
      </c>
      <c r="J12" s="33">
        <v>0</v>
      </c>
      <c r="K12" s="33">
        <v>0</v>
      </c>
      <c r="L12" s="33">
        <v>0</v>
      </c>
      <c r="M12" s="33">
        <v>0</v>
      </c>
      <c r="N12" s="50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19">
        <v>0</v>
      </c>
      <c r="X12" s="19">
        <v>0</v>
      </c>
      <c r="Y12" s="19">
        <v>0</v>
      </c>
      <c r="Z12" s="19">
        <v>0</v>
      </c>
      <c r="AA12" s="43">
        <v>0</v>
      </c>
      <c r="AB12" s="87">
        <v>0</v>
      </c>
      <c r="AC12" s="43">
        <v>0</v>
      </c>
      <c r="AD12" s="50">
        <v>6700</v>
      </c>
      <c r="AE12" s="33">
        <v>0</v>
      </c>
      <c r="AF12" s="33">
        <v>0</v>
      </c>
      <c r="AG12" s="33"/>
    </row>
    <row r="13" spans="1:33" ht="14.5" x14ac:dyDescent="0.35">
      <c r="A13" s="32">
        <v>3200</v>
      </c>
      <c r="B13" s="16" t="s">
        <v>8</v>
      </c>
      <c r="C13" s="87">
        <v>15000</v>
      </c>
      <c r="D13" s="43">
        <v>17060</v>
      </c>
      <c r="E13" s="87">
        <v>18000</v>
      </c>
      <c r="F13" s="43">
        <v>14172</v>
      </c>
      <c r="G13" s="87">
        <v>5000</v>
      </c>
      <c r="H13" s="33">
        <v>40000</v>
      </c>
      <c r="I13" s="50">
        <v>40000</v>
      </c>
      <c r="J13" s="33">
        <v>20000</v>
      </c>
      <c r="K13" s="33">
        <v>24250</v>
      </c>
      <c r="L13" s="33">
        <v>10000</v>
      </c>
      <c r="M13" s="33">
        <f>12350+1200</f>
        <v>13550</v>
      </c>
      <c r="N13" s="50">
        <v>10000</v>
      </c>
      <c r="O13" s="33">
        <f>3600</f>
        <v>3600</v>
      </c>
      <c r="P13" s="33">
        <v>10000</v>
      </c>
      <c r="Q13" s="33">
        <v>17000</v>
      </c>
      <c r="R13" s="33">
        <v>10000</v>
      </c>
      <c r="S13" s="33">
        <v>12200</v>
      </c>
      <c r="T13" s="33">
        <v>10000</v>
      </c>
      <c r="U13" s="33">
        <v>13830</v>
      </c>
      <c r="V13" s="33">
        <v>10000</v>
      </c>
      <c r="W13" s="18">
        <f>4500+3460</f>
        <v>7960</v>
      </c>
      <c r="X13" s="18">
        <v>10200</v>
      </c>
      <c r="Y13" s="18">
        <v>5800</v>
      </c>
      <c r="Z13" s="18">
        <v>0</v>
      </c>
      <c r="AA13" s="43">
        <v>0</v>
      </c>
      <c r="AB13" s="87">
        <v>15000</v>
      </c>
      <c r="AC13" s="43">
        <v>5188</v>
      </c>
      <c r="AD13" s="50">
        <f>41800-5200</f>
        <v>36600</v>
      </c>
      <c r="AE13" s="33">
        <f>34692.98</f>
        <v>34692.980000000003</v>
      </c>
      <c r="AF13" s="33">
        <v>43582.23</v>
      </c>
      <c r="AG13" s="33"/>
    </row>
    <row r="14" spans="1:33" ht="14.5" x14ac:dyDescent="0.35">
      <c r="A14" s="32">
        <v>3300</v>
      </c>
      <c r="B14" s="16" t="s">
        <v>9</v>
      </c>
      <c r="C14" s="88">
        <v>0</v>
      </c>
      <c r="D14" s="44">
        <v>0</v>
      </c>
      <c r="E14" s="88">
        <v>0</v>
      </c>
      <c r="F14" s="44">
        <v>0</v>
      </c>
      <c r="G14" s="88">
        <v>0</v>
      </c>
      <c r="H14" s="18">
        <v>0</v>
      </c>
      <c r="I14" s="51">
        <v>0</v>
      </c>
      <c r="J14" s="18">
        <v>0</v>
      </c>
      <c r="K14" s="18">
        <v>0</v>
      </c>
      <c r="L14" s="18">
        <v>500</v>
      </c>
      <c r="M14" s="18">
        <v>450</v>
      </c>
      <c r="N14" s="51">
        <v>0</v>
      </c>
      <c r="O14" s="18">
        <v>0</v>
      </c>
      <c r="P14" s="18">
        <v>500</v>
      </c>
      <c r="Q14" s="18">
        <v>650</v>
      </c>
      <c r="R14" s="18">
        <v>500</v>
      </c>
      <c r="S14" s="18">
        <v>250</v>
      </c>
      <c r="T14" s="18">
        <v>1000</v>
      </c>
      <c r="U14" s="18">
        <v>200</v>
      </c>
      <c r="V14" s="18">
        <v>1000</v>
      </c>
      <c r="W14" s="18">
        <v>650</v>
      </c>
      <c r="X14" s="18">
        <v>1480</v>
      </c>
      <c r="Y14" s="18">
        <v>0</v>
      </c>
      <c r="Z14" s="18">
        <v>0</v>
      </c>
      <c r="AA14" s="44">
        <v>943.17</v>
      </c>
      <c r="AB14" s="88">
        <v>0</v>
      </c>
      <c r="AC14" s="44">
        <v>0</v>
      </c>
      <c r="AD14" s="51">
        <v>0</v>
      </c>
      <c r="AE14" s="18">
        <v>0</v>
      </c>
      <c r="AF14" s="18">
        <v>0</v>
      </c>
      <c r="AG14" s="18"/>
    </row>
    <row r="15" spans="1:33" ht="14.5" x14ac:dyDescent="0.35">
      <c r="A15" s="32">
        <v>3700</v>
      </c>
      <c r="B15" s="16" t="s">
        <v>10</v>
      </c>
      <c r="C15" s="88">
        <v>0</v>
      </c>
      <c r="D15" s="44">
        <v>0</v>
      </c>
      <c r="E15" s="88">
        <v>0</v>
      </c>
      <c r="F15" s="44">
        <v>0</v>
      </c>
      <c r="G15" s="88">
        <v>0</v>
      </c>
      <c r="H15" s="18">
        <v>0</v>
      </c>
      <c r="I15" s="51">
        <v>0</v>
      </c>
      <c r="J15" s="18">
        <v>3000</v>
      </c>
      <c r="K15" s="18">
        <v>3000</v>
      </c>
      <c r="L15" s="18">
        <v>0</v>
      </c>
      <c r="M15" s="18">
        <v>0</v>
      </c>
      <c r="N15" s="51">
        <v>0</v>
      </c>
      <c r="O15" s="18">
        <v>0</v>
      </c>
      <c r="P15" s="18">
        <v>0</v>
      </c>
      <c r="Q15" s="18">
        <v>4400</v>
      </c>
      <c r="R15" s="18"/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44">
        <v>1000</v>
      </c>
      <c r="AB15" s="88">
        <v>0</v>
      </c>
      <c r="AC15" s="44">
        <v>450</v>
      </c>
      <c r="AD15" s="51">
        <v>3350</v>
      </c>
      <c r="AE15" s="18">
        <v>0</v>
      </c>
      <c r="AF15" s="18">
        <v>2000</v>
      </c>
      <c r="AG15" s="18"/>
    </row>
    <row r="16" spans="1:33" ht="14.5" x14ac:dyDescent="0.35">
      <c r="A16" s="32">
        <v>3900</v>
      </c>
      <c r="B16" s="16" t="s">
        <v>75</v>
      </c>
      <c r="C16" s="88">
        <v>25000</v>
      </c>
      <c r="D16" s="44">
        <v>28661</v>
      </c>
      <c r="E16" s="88">
        <v>18000</v>
      </c>
      <c r="F16" s="44">
        <v>3006</v>
      </c>
      <c r="G16" s="88">
        <v>0</v>
      </c>
      <c r="H16" s="18">
        <v>0</v>
      </c>
      <c r="I16" s="51">
        <v>0</v>
      </c>
      <c r="J16" s="18">
        <v>0</v>
      </c>
      <c r="K16" s="18">
        <v>0</v>
      </c>
      <c r="L16" s="18">
        <v>0</v>
      </c>
      <c r="M16" s="18">
        <v>0</v>
      </c>
      <c r="N16" s="51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9">
        <v>0</v>
      </c>
      <c r="X16" s="19">
        <v>0</v>
      </c>
      <c r="Y16" s="19">
        <v>0</v>
      </c>
      <c r="Z16" s="19">
        <v>0</v>
      </c>
      <c r="AA16" s="44">
        <v>0</v>
      </c>
      <c r="AB16" s="88">
        <v>3000</v>
      </c>
      <c r="AC16" s="44">
        <v>2898</v>
      </c>
      <c r="AD16" s="51">
        <v>2165.89</v>
      </c>
      <c r="AE16" s="18">
        <v>0</v>
      </c>
      <c r="AF16" s="18">
        <v>0</v>
      </c>
      <c r="AG16" s="18"/>
    </row>
    <row r="17" spans="1:33" ht="14.5" x14ac:dyDescent="0.35">
      <c r="A17" s="68"/>
      <c r="B17" s="61"/>
      <c r="C17" s="89"/>
      <c r="D17" s="69"/>
      <c r="E17" s="89"/>
      <c r="F17" s="69"/>
      <c r="G17" s="89"/>
      <c r="H17" s="71"/>
      <c r="I17" s="70"/>
      <c r="J17" s="71"/>
      <c r="K17" s="71"/>
      <c r="L17" s="71"/>
      <c r="M17" s="71"/>
      <c r="N17" s="70"/>
      <c r="O17" s="71"/>
      <c r="P17" s="71"/>
      <c r="Q17" s="71"/>
      <c r="R17" s="71"/>
      <c r="S17" s="71"/>
      <c r="T17" s="71"/>
      <c r="U17" s="71"/>
      <c r="V17" s="71"/>
      <c r="W17" s="63"/>
      <c r="X17" s="63"/>
      <c r="Y17" s="63"/>
      <c r="Z17" s="61"/>
      <c r="AA17" s="69">
        <v>0</v>
      </c>
      <c r="AB17" s="89"/>
      <c r="AC17" s="69"/>
      <c r="AD17" s="70"/>
      <c r="AE17" s="71"/>
      <c r="AF17" s="71"/>
      <c r="AG17" s="71"/>
    </row>
    <row r="18" spans="1:33" s="2" customFormat="1" ht="15.5" x14ac:dyDescent="0.35">
      <c r="A18" s="21"/>
      <c r="B18" s="10" t="s">
        <v>11</v>
      </c>
      <c r="C18" s="90">
        <v>84000</v>
      </c>
      <c r="D18" s="45">
        <v>103692</v>
      </c>
      <c r="E18" s="90">
        <v>66000</v>
      </c>
      <c r="F18" s="45">
        <v>80492</v>
      </c>
      <c r="G18" s="90">
        <f t="shared" ref="G18" si="0">SUM(G9:G17)</f>
        <v>41500</v>
      </c>
      <c r="H18" s="25">
        <f t="shared" ref="H18:U18" si="1">SUM(H9:H17)</f>
        <v>59500</v>
      </c>
      <c r="I18" s="52">
        <f t="shared" ref="I18" si="2">SUM(I9:I17)</f>
        <v>59500</v>
      </c>
      <c r="J18" s="25">
        <f t="shared" si="1"/>
        <v>42000</v>
      </c>
      <c r="K18" s="25">
        <f t="shared" si="1"/>
        <v>41319</v>
      </c>
      <c r="L18" s="25">
        <f t="shared" si="1"/>
        <v>39000</v>
      </c>
      <c r="M18" s="25">
        <f t="shared" si="1"/>
        <v>37452.42</v>
      </c>
      <c r="N18" s="52">
        <f t="shared" si="1"/>
        <v>37000</v>
      </c>
      <c r="O18" s="25">
        <f>SUM(O9:O17)</f>
        <v>30742.240000000002</v>
      </c>
      <c r="P18" s="25">
        <f t="shared" si="1"/>
        <v>41000</v>
      </c>
      <c r="Q18" s="25">
        <f t="shared" si="1"/>
        <v>47296</v>
      </c>
      <c r="R18" s="25">
        <f t="shared" si="1"/>
        <v>42100</v>
      </c>
      <c r="S18" s="25">
        <f t="shared" si="1"/>
        <v>39118</v>
      </c>
      <c r="T18" s="25">
        <f t="shared" si="1"/>
        <v>44000</v>
      </c>
      <c r="U18" s="25">
        <f t="shared" si="1"/>
        <v>36270</v>
      </c>
      <c r="V18" s="25">
        <f t="shared" ref="V18:AA18" si="3">SUM(V9:V17)</f>
        <v>43500</v>
      </c>
      <c r="W18" s="13">
        <f t="shared" si="3"/>
        <v>39085</v>
      </c>
      <c r="X18" s="13">
        <f t="shared" si="3"/>
        <v>50630.5</v>
      </c>
      <c r="Y18" s="13">
        <f t="shared" si="3"/>
        <v>5800</v>
      </c>
      <c r="Z18" s="13">
        <f t="shared" si="3"/>
        <v>27659</v>
      </c>
      <c r="AA18" s="45">
        <f t="shared" si="3"/>
        <v>103993.17</v>
      </c>
      <c r="AB18" s="90">
        <f t="shared" ref="AB18" si="4">SUM(AB9:AB17)</f>
        <v>38000</v>
      </c>
      <c r="AC18" s="45">
        <f t="shared" ref="AC18" si="5">SUM(AC9:AC17)</f>
        <v>40479</v>
      </c>
      <c r="AD18" s="52">
        <f t="shared" ref="AD18" si="6">SUM(AD9:AD17)</f>
        <v>53895.89</v>
      </c>
      <c r="AE18" s="25">
        <f t="shared" ref="AE18" si="7">SUM(AE9:AE17)</f>
        <v>62926.98</v>
      </c>
      <c r="AF18" s="25">
        <f t="shared" ref="AF18" si="8">SUM(AF9:AF17)</f>
        <v>68348.23000000001</v>
      </c>
      <c r="AG18" s="25"/>
    </row>
    <row r="19" spans="1:33" ht="13" x14ac:dyDescent="0.3">
      <c r="A19" s="23"/>
      <c r="B19" s="6"/>
      <c r="C19" s="84"/>
      <c r="D19" s="40"/>
      <c r="E19" s="84"/>
      <c r="F19" s="40"/>
      <c r="G19" s="84"/>
      <c r="H19" s="11"/>
      <c r="I19" s="47"/>
      <c r="J19" s="11"/>
      <c r="K19" s="11"/>
      <c r="L19" s="11"/>
      <c r="M19" s="11"/>
      <c r="N19" s="47"/>
      <c r="O19" s="11"/>
      <c r="P19" s="11"/>
      <c r="Q19" s="11"/>
      <c r="R19" s="11"/>
      <c r="S19" s="11"/>
      <c r="T19" s="11"/>
      <c r="U19" s="11"/>
      <c r="V19" s="11"/>
      <c r="W19" s="12"/>
      <c r="X19" s="12"/>
      <c r="Y19" s="12"/>
      <c r="Z19" s="6"/>
      <c r="AA19" s="40"/>
      <c r="AB19" s="84"/>
      <c r="AC19" s="40"/>
      <c r="AD19" s="47"/>
      <c r="AE19" s="11"/>
      <c r="AF19" s="11"/>
      <c r="AG19" s="11"/>
    </row>
    <row r="20" spans="1:33" s="2" customFormat="1" ht="15.5" x14ac:dyDescent="0.35">
      <c r="A20" s="21"/>
      <c r="B20" s="10" t="s">
        <v>12</v>
      </c>
      <c r="C20" s="90"/>
      <c r="D20" s="45"/>
      <c r="E20" s="90"/>
      <c r="F20" s="45"/>
      <c r="G20" s="90"/>
      <c r="H20" s="25"/>
      <c r="I20" s="52"/>
      <c r="J20" s="25"/>
      <c r="K20" s="25"/>
      <c r="L20" s="25"/>
      <c r="M20" s="25"/>
      <c r="N20" s="52"/>
      <c r="O20" s="25"/>
      <c r="P20" s="25"/>
      <c r="Q20" s="25"/>
      <c r="R20" s="25"/>
      <c r="S20" s="25"/>
      <c r="T20" s="25"/>
      <c r="U20" s="25"/>
      <c r="V20" s="25"/>
      <c r="W20" s="13"/>
      <c r="X20" s="13"/>
      <c r="Y20" s="13"/>
      <c r="Z20" s="10"/>
      <c r="AA20" s="45"/>
      <c r="AB20" s="90"/>
      <c r="AC20" s="45"/>
      <c r="AD20" s="52"/>
      <c r="AE20" s="25"/>
      <c r="AF20" s="25"/>
      <c r="AG20" s="25"/>
    </row>
    <row r="21" spans="1:33" s="2" customFormat="1" ht="16" hidden="1" customHeight="1" x14ac:dyDescent="0.35">
      <c r="A21" s="32">
        <v>4000</v>
      </c>
      <c r="B21" s="16" t="s">
        <v>13</v>
      </c>
      <c r="C21" s="91"/>
      <c r="D21" s="46"/>
      <c r="E21" s="91"/>
      <c r="F21" s="46"/>
      <c r="G21" s="91"/>
      <c r="H21" s="34"/>
      <c r="I21" s="53"/>
      <c r="J21" s="34"/>
      <c r="K21" s="34"/>
      <c r="L21" s="34"/>
      <c r="M21" s="34"/>
      <c r="N21" s="53"/>
      <c r="O21" s="34"/>
      <c r="P21" s="34"/>
      <c r="Q21" s="34"/>
      <c r="R21" s="34"/>
      <c r="S21" s="34"/>
      <c r="T21" s="34"/>
      <c r="U21" s="34"/>
      <c r="V21" s="34"/>
      <c r="W21" s="35"/>
      <c r="X21" s="35"/>
      <c r="Y21" s="35"/>
      <c r="Z21" s="36"/>
      <c r="AA21" s="46"/>
      <c r="AB21" s="91"/>
      <c r="AC21" s="46"/>
      <c r="AD21" s="53"/>
      <c r="AE21" s="34"/>
      <c r="AF21" s="34"/>
      <c r="AG21" s="34"/>
    </row>
    <row r="22" spans="1:33" s="2" customFormat="1" ht="16" hidden="1" customHeight="1" x14ac:dyDescent="0.35">
      <c r="A22" s="32">
        <v>4001</v>
      </c>
      <c r="B22" s="16" t="s">
        <v>14</v>
      </c>
      <c r="C22" s="91"/>
      <c r="D22" s="46"/>
      <c r="E22" s="91"/>
      <c r="F22" s="46"/>
      <c r="G22" s="91"/>
      <c r="H22" s="34"/>
      <c r="I22" s="53"/>
      <c r="J22" s="34"/>
      <c r="K22" s="34"/>
      <c r="L22" s="34"/>
      <c r="M22" s="34"/>
      <c r="N22" s="53"/>
      <c r="O22" s="34"/>
      <c r="P22" s="34"/>
      <c r="Q22" s="34"/>
      <c r="R22" s="34"/>
      <c r="S22" s="34"/>
      <c r="T22" s="34"/>
      <c r="U22" s="34"/>
      <c r="V22" s="34"/>
      <c r="W22" s="35"/>
      <c r="X22" s="35"/>
      <c r="Y22" s="35"/>
      <c r="Z22" s="36"/>
      <c r="AA22" s="46"/>
      <c r="AB22" s="91"/>
      <c r="AC22" s="46"/>
      <c r="AD22" s="53"/>
      <c r="AE22" s="34"/>
      <c r="AF22" s="34"/>
      <c r="AG22" s="34"/>
    </row>
    <row r="23" spans="1:33" s="2" customFormat="1" ht="16" hidden="1" customHeight="1" x14ac:dyDescent="0.35">
      <c r="A23" s="32">
        <v>4003</v>
      </c>
      <c r="B23" s="16" t="s">
        <v>15</v>
      </c>
      <c r="C23" s="88"/>
      <c r="D23" s="44"/>
      <c r="E23" s="88"/>
      <c r="F23" s="44"/>
      <c r="G23" s="88"/>
      <c r="H23" s="18"/>
      <c r="I23" s="51"/>
      <c r="J23" s="18"/>
      <c r="K23" s="18"/>
      <c r="L23" s="18"/>
      <c r="M23" s="18"/>
      <c r="N23" s="51"/>
      <c r="O23" s="18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36"/>
      <c r="AA23" s="44"/>
      <c r="AB23" s="88"/>
      <c r="AC23" s="44"/>
      <c r="AD23" s="51"/>
      <c r="AE23" s="18"/>
      <c r="AF23" s="18"/>
      <c r="AG23" s="18"/>
    </row>
    <row r="24" spans="1:33" s="2" customFormat="1" ht="15.5" x14ac:dyDescent="0.35">
      <c r="A24" s="32">
        <v>4005</v>
      </c>
      <c r="B24" s="16" t="s">
        <v>16</v>
      </c>
      <c r="C24" s="88">
        <v>0</v>
      </c>
      <c r="D24" s="44">
        <v>0</v>
      </c>
      <c r="E24" s="88">
        <v>0</v>
      </c>
      <c r="F24" s="44">
        <v>0</v>
      </c>
      <c r="G24" s="88">
        <v>0</v>
      </c>
      <c r="H24" s="18">
        <v>0</v>
      </c>
      <c r="I24" s="51">
        <v>0</v>
      </c>
      <c r="J24" s="18">
        <v>0</v>
      </c>
      <c r="K24" s="18">
        <v>0</v>
      </c>
      <c r="L24" s="18">
        <v>0</v>
      </c>
      <c r="M24" s="18">
        <v>0</v>
      </c>
      <c r="N24" s="51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f>1126.5+864-1072.5</f>
        <v>918</v>
      </c>
      <c r="Z24" s="18">
        <f>131.25+941.25</f>
        <v>1072.5</v>
      </c>
      <c r="AA24" s="44">
        <v>0</v>
      </c>
      <c r="AB24" s="88">
        <v>0</v>
      </c>
      <c r="AC24" s="44">
        <v>0</v>
      </c>
      <c r="AD24" s="51">
        <v>0</v>
      </c>
      <c r="AE24" s="18">
        <v>0</v>
      </c>
      <c r="AF24" s="18">
        <v>0</v>
      </c>
      <c r="AG24" s="18"/>
    </row>
    <row r="25" spans="1:33" s="2" customFormat="1" ht="15.5" x14ac:dyDescent="0.35">
      <c r="A25" s="32">
        <v>4010</v>
      </c>
      <c r="B25" s="16" t="s">
        <v>73</v>
      </c>
      <c r="C25" s="88">
        <v>30000</v>
      </c>
      <c r="D25" s="44">
        <v>12100</v>
      </c>
      <c r="E25" s="88">
        <v>10000</v>
      </c>
      <c r="F25" s="44">
        <v>25815</v>
      </c>
      <c r="G25" s="88">
        <v>10000</v>
      </c>
      <c r="H25" s="18">
        <v>5000</v>
      </c>
      <c r="I25" s="51">
        <v>6500</v>
      </c>
      <c r="J25" s="18">
        <v>5000</v>
      </c>
      <c r="K25" s="18">
        <f>7935+545</f>
        <v>8480</v>
      </c>
      <c r="L25" s="18">
        <v>5000</v>
      </c>
      <c r="M25" s="18">
        <v>3305</v>
      </c>
      <c r="N25" s="51">
        <v>5000</v>
      </c>
      <c r="O25" s="18">
        <v>7364.38</v>
      </c>
      <c r="P25" s="18">
        <v>5000</v>
      </c>
      <c r="Q25" s="18">
        <v>3413</v>
      </c>
      <c r="R25" s="18">
        <v>5000</v>
      </c>
      <c r="S25" s="18">
        <v>6980.64</v>
      </c>
      <c r="T25" s="18">
        <v>5000</v>
      </c>
      <c r="U25" s="18">
        <f>2143.41+500</f>
        <v>2643.41</v>
      </c>
      <c r="V25" s="18">
        <v>12000</v>
      </c>
      <c r="W25" s="19">
        <f>500+3000+2000+300.5+2300+199+500+1500+77</f>
        <v>10376.5</v>
      </c>
      <c r="X25" s="19">
        <v>10775</v>
      </c>
      <c r="Y25" s="19">
        <f>1250+5000+69.5</f>
        <v>6319.5</v>
      </c>
      <c r="Z25" s="19">
        <f>784.5+693.75+4200</f>
        <v>5678.25</v>
      </c>
      <c r="AA25" s="44">
        <f>30536+2</f>
        <v>30538</v>
      </c>
      <c r="AB25" s="88">
        <v>8000</v>
      </c>
      <c r="AC25" s="44">
        <v>20395</v>
      </c>
      <c r="AD25" s="51">
        <v>200</v>
      </c>
      <c r="AE25" s="18">
        <f>1548.22+4052</f>
        <v>5600.22</v>
      </c>
      <c r="AF25" s="18">
        <v>3122</v>
      </c>
      <c r="AG25" s="18"/>
    </row>
    <row r="26" spans="1:33" s="2" customFormat="1" ht="15.5" x14ac:dyDescent="0.35">
      <c r="A26" s="32">
        <v>4020</v>
      </c>
      <c r="B26" s="16" t="s">
        <v>17</v>
      </c>
      <c r="C26" s="88">
        <v>26000</v>
      </c>
      <c r="D26" s="44">
        <v>21896</v>
      </c>
      <c r="E26" s="88">
        <v>25000</v>
      </c>
      <c r="F26" s="44">
        <v>23617</v>
      </c>
      <c r="G26" s="88">
        <v>15000</v>
      </c>
      <c r="H26" s="18">
        <v>32000</v>
      </c>
      <c r="I26" s="51">
        <v>32000</v>
      </c>
      <c r="J26" s="18">
        <v>20000</v>
      </c>
      <c r="K26" s="18">
        <v>25650</v>
      </c>
      <c r="L26" s="18">
        <v>15000</v>
      </c>
      <c r="M26" s="18">
        <f>33620.23+2789+958+815.8</f>
        <v>38183.030000000006</v>
      </c>
      <c r="N26" s="51">
        <v>15000</v>
      </c>
      <c r="O26" s="18">
        <f>10745.84</f>
        <v>10745.84</v>
      </c>
      <c r="P26" s="18">
        <v>20000</v>
      </c>
      <c r="Q26" s="18">
        <v>25540</v>
      </c>
      <c r="R26" s="18">
        <v>20000</v>
      </c>
      <c r="S26" s="18">
        <v>20877</v>
      </c>
      <c r="T26" s="18">
        <v>20000</v>
      </c>
      <c r="U26" s="18">
        <v>23065</v>
      </c>
      <c r="V26" s="18">
        <v>3000</v>
      </c>
      <c r="W26" s="18">
        <v>2000</v>
      </c>
      <c r="X26" s="18">
        <v>422</v>
      </c>
      <c r="Y26" s="18">
        <f>870+662</f>
        <v>1532</v>
      </c>
      <c r="Z26" s="19">
        <v>0</v>
      </c>
      <c r="AA26" s="44">
        <v>0</v>
      </c>
      <c r="AB26" s="88">
        <v>15000</v>
      </c>
      <c r="AC26" s="44">
        <v>5499</v>
      </c>
      <c r="AD26" s="51">
        <f>30600-2100</f>
        <v>28500</v>
      </c>
      <c r="AE26" s="18">
        <f>25952-4052</f>
        <v>21900</v>
      </c>
      <c r="AF26" s="18">
        <v>34100</v>
      </c>
      <c r="AG26" s="18"/>
    </row>
    <row r="27" spans="1:33" s="2" customFormat="1" ht="15.5" x14ac:dyDescent="0.35">
      <c r="A27" s="32">
        <v>4300</v>
      </c>
      <c r="B27" s="16" t="s">
        <v>18</v>
      </c>
      <c r="C27" s="88">
        <v>6000</v>
      </c>
      <c r="D27" s="44">
        <v>2743</v>
      </c>
      <c r="E27" s="88">
        <v>2000</v>
      </c>
      <c r="F27" s="44">
        <v>0</v>
      </c>
      <c r="G27" s="88">
        <v>15000</v>
      </c>
      <c r="H27" s="18">
        <v>0</v>
      </c>
      <c r="I27" s="51">
        <v>0</v>
      </c>
      <c r="J27" s="18">
        <v>0</v>
      </c>
      <c r="K27" s="18">
        <v>0</v>
      </c>
      <c r="L27" s="18">
        <v>0</v>
      </c>
      <c r="M27" s="18">
        <v>0</v>
      </c>
      <c r="N27" s="51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5500</v>
      </c>
      <c r="X27" s="18">
        <v>131</v>
      </c>
      <c r="Y27" s="18">
        <v>4839.54</v>
      </c>
      <c r="Z27" s="19">
        <v>0</v>
      </c>
      <c r="AA27" s="44">
        <v>0</v>
      </c>
      <c r="AB27" s="88">
        <v>0</v>
      </c>
      <c r="AC27" s="44">
        <v>0</v>
      </c>
      <c r="AD27" s="51">
        <v>0</v>
      </c>
      <c r="AE27" s="18">
        <v>0</v>
      </c>
      <c r="AF27" s="18">
        <v>0</v>
      </c>
      <c r="AG27" s="18"/>
    </row>
    <row r="28" spans="1:33" s="2" customFormat="1" ht="16" hidden="1" customHeight="1" x14ac:dyDescent="0.35">
      <c r="A28" s="32">
        <v>4500</v>
      </c>
      <c r="B28" s="16" t="s">
        <v>19</v>
      </c>
      <c r="C28" s="88"/>
      <c r="D28" s="44"/>
      <c r="E28" s="88"/>
      <c r="F28" s="44"/>
      <c r="G28" s="88"/>
      <c r="H28" s="18">
        <v>0</v>
      </c>
      <c r="I28" s="51"/>
      <c r="J28" s="18"/>
      <c r="K28" s="18"/>
      <c r="L28" s="18"/>
      <c r="M28" s="18"/>
      <c r="N28" s="51"/>
      <c r="O28" s="18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44"/>
      <c r="AB28" s="88"/>
      <c r="AC28" s="44"/>
      <c r="AD28" s="51"/>
      <c r="AE28" s="18"/>
      <c r="AF28" s="18"/>
      <c r="AG28" s="18"/>
    </row>
    <row r="29" spans="1:33" s="2" customFormat="1" ht="16" hidden="1" customHeight="1" x14ac:dyDescent="0.35">
      <c r="A29" s="32">
        <v>4700</v>
      </c>
      <c r="B29" s="16" t="s">
        <v>20</v>
      </c>
      <c r="C29" s="88"/>
      <c r="D29" s="44"/>
      <c r="E29" s="88"/>
      <c r="F29" s="44"/>
      <c r="G29" s="88"/>
      <c r="H29" s="18">
        <v>0</v>
      </c>
      <c r="I29" s="51"/>
      <c r="J29" s="18"/>
      <c r="K29" s="18"/>
      <c r="L29" s="18"/>
      <c r="M29" s="18"/>
      <c r="N29" s="51"/>
      <c r="O29" s="18"/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44"/>
      <c r="AB29" s="88"/>
      <c r="AC29" s="44"/>
      <c r="AD29" s="51"/>
      <c r="AE29" s="18"/>
      <c r="AF29" s="18"/>
      <c r="AG29" s="18"/>
    </row>
    <row r="30" spans="1:33" ht="15" hidden="1" customHeight="1" x14ac:dyDescent="0.35">
      <c r="A30" s="32">
        <v>6000</v>
      </c>
      <c r="B30" s="16" t="s">
        <v>21</v>
      </c>
      <c r="C30" s="88"/>
      <c r="D30" s="44"/>
      <c r="E30" s="88"/>
      <c r="F30" s="44"/>
      <c r="G30" s="88"/>
      <c r="H30" s="18">
        <v>0</v>
      </c>
      <c r="I30" s="51"/>
      <c r="J30" s="18"/>
      <c r="K30" s="18"/>
      <c r="L30" s="18"/>
      <c r="M30" s="18"/>
      <c r="N30" s="51"/>
      <c r="O30" s="18"/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44"/>
      <c r="AB30" s="88"/>
      <c r="AC30" s="44"/>
      <c r="AD30" s="51"/>
      <c r="AE30" s="18"/>
      <c r="AF30" s="18"/>
      <c r="AG30" s="18"/>
    </row>
    <row r="31" spans="1:33" ht="14.5" x14ac:dyDescent="0.35">
      <c r="A31" s="32">
        <v>6300</v>
      </c>
      <c r="B31" s="16" t="s">
        <v>22</v>
      </c>
      <c r="C31" s="88">
        <v>3000</v>
      </c>
      <c r="D31" s="44">
        <v>1700</v>
      </c>
      <c r="E31" s="88">
        <v>5000</v>
      </c>
      <c r="F31" s="44">
        <v>3110</v>
      </c>
      <c r="G31" s="88">
        <v>2000</v>
      </c>
      <c r="H31" s="18">
        <v>0</v>
      </c>
      <c r="I31" s="51">
        <v>0</v>
      </c>
      <c r="J31" s="18">
        <v>500</v>
      </c>
      <c r="K31" s="18">
        <v>500</v>
      </c>
      <c r="L31" s="18">
        <v>0</v>
      </c>
      <c r="M31" s="18">
        <v>0</v>
      </c>
      <c r="N31" s="51">
        <v>0</v>
      </c>
      <c r="O31" s="18">
        <v>0</v>
      </c>
      <c r="P31" s="18">
        <v>0</v>
      </c>
      <c r="Q31" s="18">
        <v>0</v>
      </c>
      <c r="R31" s="18">
        <v>4000</v>
      </c>
      <c r="S31" s="18">
        <v>4000</v>
      </c>
      <c r="T31" s="18">
        <v>4000</v>
      </c>
      <c r="U31" s="18">
        <v>4000</v>
      </c>
      <c r="V31" s="18">
        <v>0</v>
      </c>
      <c r="W31" s="18">
        <v>0</v>
      </c>
      <c r="X31" s="18">
        <v>0</v>
      </c>
      <c r="Y31" s="18">
        <v>0</v>
      </c>
      <c r="Z31" s="19">
        <v>0</v>
      </c>
      <c r="AA31" s="44">
        <v>0</v>
      </c>
      <c r="AB31" s="88">
        <v>4000</v>
      </c>
      <c r="AC31" s="44">
        <v>2600</v>
      </c>
      <c r="AD31" s="51">
        <v>2100</v>
      </c>
      <c r="AE31" s="18">
        <v>0</v>
      </c>
      <c r="AF31" s="18">
        <v>0</v>
      </c>
      <c r="AG31" s="18"/>
    </row>
    <row r="32" spans="1:33" ht="15" hidden="1" customHeight="1" x14ac:dyDescent="0.35">
      <c r="A32" s="32">
        <v>6500</v>
      </c>
      <c r="B32" s="16" t="s">
        <v>23</v>
      </c>
      <c r="C32" s="88"/>
      <c r="D32" s="44"/>
      <c r="E32" s="88"/>
      <c r="F32" s="44"/>
      <c r="G32" s="88"/>
      <c r="H32" s="18">
        <v>0</v>
      </c>
      <c r="I32" s="51"/>
      <c r="J32" s="18"/>
      <c r="K32" s="18"/>
      <c r="L32" s="18">
        <v>0</v>
      </c>
      <c r="M32" s="18">
        <v>0</v>
      </c>
      <c r="N32" s="51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9">
        <v>0</v>
      </c>
      <c r="X32" s="19">
        <v>550</v>
      </c>
      <c r="Y32" s="19">
        <v>0</v>
      </c>
      <c r="Z32" s="19">
        <v>0</v>
      </c>
      <c r="AA32" s="44"/>
      <c r="AB32" s="88"/>
      <c r="AC32" s="44"/>
      <c r="AD32" s="51"/>
      <c r="AE32" s="18"/>
      <c r="AF32" s="18"/>
      <c r="AG32" s="18"/>
    </row>
    <row r="33" spans="1:33" ht="15" hidden="1" customHeight="1" x14ac:dyDescent="0.35">
      <c r="A33" s="32">
        <v>6800</v>
      </c>
      <c r="B33" s="16" t="s">
        <v>24</v>
      </c>
      <c r="C33" s="88"/>
      <c r="D33" s="44"/>
      <c r="E33" s="88"/>
      <c r="F33" s="44"/>
      <c r="G33" s="88"/>
      <c r="H33" s="18">
        <v>0</v>
      </c>
      <c r="I33" s="51"/>
      <c r="J33" s="18"/>
      <c r="K33" s="18"/>
      <c r="L33" s="18">
        <v>0</v>
      </c>
      <c r="M33" s="18">
        <v>0</v>
      </c>
      <c r="N33" s="51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f>1203</f>
        <v>1203</v>
      </c>
      <c r="Z33" s="18">
        <f>100+800</f>
        <v>900</v>
      </c>
      <c r="AA33" s="44"/>
      <c r="AB33" s="88"/>
      <c r="AC33" s="44"/>
      <c r="AD33" s="51"/>
      <c r="AE33" s="18"/>
      <c r="AF33" s="18"/>
      <c r="AG33" s="18"/>
    </row>
    <row r="34" spans="1:33" ht="15" hidden="1" customHeight="1" x14ac:dyDescent="0.35">
      <c r="A34" s="32">
        <v>6870</v>
      </c>
      <c r="B34" s="16" t="s">
        <v>25</v>
      </c>
      <c r="C34" s="88"/>
      <c r="D34" s="44"/>
      <c r="E34" s="88"/>
      <c r="F34" s="44"/>
      <c r="G34" s="88"/>
      <c r="H34" s="18">
        <v>0</v>
      </c>
      <c r="I34" s="51"/>
      <c r="J34" s="18"/>
      <c r="K34" s="18"/>
      <c r="L34" s="18"/>
      <c r="M34" s="18"/>
      <c r="N34" s="51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/>
      <c r="W34" s="19"/>
      <c r="X34" s="19"/>
      <c r="Y34" s="19"/>
      <c r="Z34" s="19"/>
      <c r="AA34" s="44"/>
      <c r="AB34" s="88"/>
      <c r="AC34" s="44"/>
      <c r="AD34" s="51"/>
      <c r="AE34" s="18"/>
      <c r="AF34" s="18"/>
      <c r="AG34" s="18"/>
    </row>
    <row r="35" spans="1:33" ht="15" hidden="1" customHeight="1" x14ac:dyDescent="0.35">
      <c r="A35" s="32">
        <v>6900</v>
      </c>
      <c r="B35" s="16" t="s">
        <v>26</v>
      </c>
      <c r="C35" s="88"/>
      <c r="D35" s="44"/>
      <c r="E35" s="88"/>
      <c r="F35" s="44"/>
      <c r="G35" s="88"/>
      <c r="H35" s="18">
        <v>0</v>
      </c>
      <c r="I35" s="51"/>
      <c r="J35" s="18"/>
      <c r="K35" s="18"/>
      <c r="L35" s="18">
        <v>0</v>
      </c>
      <c r="M35" s="18">
        <v>0</v>
      </c>
      <c r="N35" s="51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500</v>
      </c>
      <c r="Z35" s="18">
        <v>400</v>
      </c>
      <c r="AA35" s="44"/>
      <c r="AB35" s="88"/>
      <c r="AC35" s="44"/>
      <c r="AD35" s="51"/>
      <c r="AE35" s="18"/>
      <c r="AF35" s="18"/>
      <c r="AG35" s="18"/>
    </row>
    <row r="36" spans="1:33" ht="15" hidden="1" customHeight="1" x14ac:dyDescent="0.35">
      <c r="A36" s="32">
        <v>6940</v>
      </c>
      <c r="B36" s="16" t="s">
        <v>27</v>
      </c>
      <c r="C36" s="88"/>
      <c r="D36" s="44"/>
      <c r="E36" s="88"/>
      <c r="F36" s="44"/>
      <c r="G36" s="88"/>
      <c r="H36" s="18">
        <v>0</v>
      </c>
      <c r="I36" s="51"/>
      <c r="J36" s="18"/>
      <c r="K36" s="18"/>
      <c r="L36" s="18">
        <v>0</v>
      </c>
      <c r="M36" s="18">
        <v>0</v>
      </c>
      <c r="N36" s="51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3092</v>
      </c>
      <c r="Y36" s="18">
        <v>0</v>
      </c>
      <c r="Z36" s="18">
        <f>396+322</f>
        <v>718</v>
      </c>
      <c r="AA36" s="44"/>
      <c r="AB36" s="88"/>
      <c r="AC36" s="44"/>
      <c r="AD36" s="51"/>
      <c r="AE36" s="18"/>
      <c r="AF36" s="18"/>
      <c r="AG36" s="18"/>
    </row>
    <row r="37" spans="1:33" ht="15" hidden="1" customHeight="1" x14ac:dyDescent="0.35">
      <c r="A37" s="32">
        <v>7300</v>
      </c>
      <c r="B37" s="16" t="s">
        <v>28</v>
      </c>
      <c r="C37" s="88"/>
      <c r="D37" s="44"/>
      <c r="E37" s="88"/>
      <c r="F37" s="44"/>
      <c r="G37" s="88"/>
      <c r="H37" s="18">
        <v>0</v>
      </c>
      <c r="I37" s="51"/>
      <c r="J37" s="18"/>
      <c r="K37" s="18"/>
      <c r="L37" s="18"/>
      <c r="M37" s="18"/>
      <c r="N37" s="51"/>
      <c r="O37" s="18"/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44"/>
      <c r="AB37" s="88"/>
      <c r="AC37" s="44"/>
      <c r="AD37" s="51"/>
      <c r="AE37" s="18"/>
      <c r="AF37" s="18"/>
      <c r="AG37" s="18"/>
    </row>
    <row r="38" spans="1:33" ht="15" hidden="1" customHeight="1" x14ac:dyDescent="0.35">
      <c r="A38" s="32">
        <v>7400</v>
      </c>
      <c r="B38" s="16" t="s">
        <v>29</v>
      </c>
      <c r="C38" s="88"/>
      <c r="D38" s="44"/>
      <c r="E38" s="88"/>
      <c r="F38" s="44"/>
      <c r="G38" s="88"/>
      <c r="H38" s="18">
        <v>0</v>
      </c>
      <c r="I38" s="51"/>
      <c r="J38" s="18"/>
      <c r="K38" s="18"/>
      <c r="L38" s="18"/>
      <c r="M38" s="18"/>
      <c r="N38" s="51"/>
      <c r="O38" s="18"/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44"/>
      <c r="AB38" s="88"/>
      <c r="AC38" s="44"/>
      <c r="AD38" s="51"/>
      <c r="AE38" s="18"/>
      <c r="AF38" s="18"/>
      <c r="AG38" s="18"/>
    </row>
    <row r="39" spans="1:33" ht="14.5" x14ac:dyDescent="0.35">
      <c r="A39" s="32">
        <v>7420</v>
      </c>
      <c r="B39" s="16" t="s">
        <v>30</v>
      </c>
      <c r="C39" s="88">
        <v>1500</v>
      </c>
      <c r="D39" s="44">
        <v>420</v>
      </c>
      <c r="E39" s="88">
        <v>1500</v>
      </c>
      <c r="F39" s="44">
        <v>1098</v>
      </c>
      <c r="G39" s="88">
        <v>1000</v>
      </c>
      <c r="H39" s="18">
        <v>0</v>
      </c>
      <c r="I39" s="51">
        <v>0</v>
      </c>
      <c r="J39" s="18">
        <v>0</v>
      </c>
      <c r="K39" s="18">
        <v>0</v>
      </c>
      <c r="L39" s="18">
        <v>500</v>
      </c>
      <c r="M39" s="18">
        <v>1300</v>
      </c>
      <c r="N39" s="51">
        <v>500</v>
      </c>
      <c r="O39" s="18">
        <v>0</v>
      </c>
      <c r="P39" s="18">
        <v>0</v>
      </c>
      <c r="Q39" s="18">
        <v>545</v>
      </c>
      <c r="R39" s="18"/>
      <c r="S39" s="18">
        <v>0</v>
      </c>
      <c r="T39" s="18"/>
      <c r="U39" s="18"/>
      <c r="V39" s="18">
        <v>0</v>
      </c>
      <c r="W39" s="18">
        <v>0</v>
      </c>
      <c r="X39" s="18">
        <v>350</v>
      </c>
      <c r="Y39" s="18">
        <v>500</v>
      </c>
      <c r="Z39" s="19">
        <v>0</v>
      </c>
      <c r="AA39" s="44">
        <v>1652</v>
      </c>
      <c r="AB39" s="88">
        <v>0</v>
      </c>
      <c r="AC39" s="44">
        <v>519</v>
      </c>
      <c r="AD39" s="51">
        <v>1230</v>
      </c>
      <c r="AE39" s="18">
        <v>0</v>
      </c>
      <c r="AF39" s="18">
        <v>0</v>
      </c>
      <c r="AG39" s="18"/>
    </row>
    <row r="40" spans="1:33" ht="15" hidden="1" customHeight="1" x14ac:dyDescent="0.35">
      <c r="A40" s="32">
        <v>7500</v>
      </c>
      <c r="B40" s="16" t="s">
        <v>31</v>
      </c>
      <c r="C40" s="88"/>
      <c r="D40" s="44"/>
      <c r="E40" s="88"/>
      <c r="F40" s="44"/>
      <c r="G40" s="88"/>
      <c r="H40" s="18"/>
      <c r="I40" s="51"/>
      <c r="J40" s="18"/>
      <c r="K40" s="18"/>
      <c r="L40" s="18"/>
      <c r="M40" s="18"/>
      <c r="N40" s="51"/>
      <c r="O40" s="18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44"/>
      <c r="AB40" s="88"/>
      <c r="AC40" s="44"/>
      <c r="AD40" s="51"/>
      <c r="AE40" s="18"/>
      <c r="AF40" s="18"/>
      <c r="AG40" s="18"/>
    </row>
    <row r="41" spans="1:33" ht="14.5" x14ac:dyDescent="0.35">
      <c r="A41" s="32">
        <v>7700</v>
      </c>
      <c r="B41" s="16" t="s">
        <v>32</v>
      </c>
      <c r="C41" s="88">
        <v>4000</v>
      </c>
      <c r="D41" s="44">
        <v>4339</v>
      </c>
      <c r="E41" s="88">
        <v>3000</v>
      </c>
      <c r="F41" s="44">
        <v>2537</v>
      </c>
      <c r="G41" s="88">
        <v>5000</v>
      </c>
      <c r="H41" s="18">
        <v>2000</v>
      </c>
      <c r="I41" s="51">
        <v>3000</v>
      </c>
      <c r="J41" s="18">
        <v>2000</v>
      </c>
      <c r="K41" s="18">
        <v>1258</v>
      </c>
      <c r="L41" s="18">
        <v>2000</v>
      </c>
      <c r="M41" s="18">
        <v>645</v>
      </c>
      <c r="N41" s="51">
        <v>2000</v>
      </c>
      <c r="O41" s="18">
        <f>616+250</f>
        <v>866</v>
      </c>
      <c r="P41" s="18">
        <v>2000</v>
      </c>
      <c r="Q41" s="18">
        <v>2229.5</v>
      </c>
      <c r="R41" s="18">
        <v>2000</v>
      </c>
      <c r="S41" s="18">
        <v>3542</v>
      </c>
      <c r="T41" s="18">
        <v>1500</v>
      </c>
      <c r="U41" s="18">
        <v>1280</v>
      </c>
      <c r="V41" s="18">
        <v>1500</v>
      </c>
      <c r="W41" s="18">
        <f>30+210+105+40+55+115+211+190+527.5</f>
        <v>1483.5</v>
      </c>
      <c r="X41" s="18">
        <v>0</v>
      </c>
      <c r="Y41" s="18">
        <v>0</v>
      </c>
      <c r="Z41" s="19">
        <v>0</v>
      </c>
      <c r="AA41" s="44">
        <v>2619</v>
      </c>
      <c r="AB41" s="88">
        <v>3000</v>
      </c>
      <c r="AC41" s="44">
        <v>530</v>
      </c>
      <c r="AD41" s="51">
        <v>0</v>
      </c>
      <c r="AE41" s="18">
        <v>859.2</v>
      </c>
      <c r="AF41" s="18">
        <f>735+339.8+367+1500</f>
        <v>2941.8</v>
      </c>
      <c r="AG41" s="18"/>
    </row>
    <row r="42" spans="1:33" ht="14.5" hidden="1" x14ac:dyDescent="0.35">
      <c r="A42" s="32">
        <v>7710</v>
      </c>
      <c r="B42" s="16" t="s">
        <v>33</v>
      </c>
      <c r="C42" s="91"/>
      <c r="D42" s="46"/>
      <c r="E42" s="91"/>
      <c r="F42" s="46"/>
      <c r="G42" s="91"/>
      <c r="H42" s="34"/>
      <c r="I42" s="53"/>
      <c r="J42" s="34"/>
      <c r="K42" s="34"/>
      <c r="L42" s="34"/>
      <c r="M42" s="34"/>
      <c r="N42" s="53">
        <v>0</v>
      </c>
      <c r="O42" s="34"/>
      <c r="P42" s="34"/>
      <c r="Q42" s="34"/>
      <c r="R42" s="34"/>
      <c r="S42" s="34"/>
      <c r="T42" s="34"/>
      <c r="U42" s="34"/>
      <c r="V42" s="34"/>
      <c r="W42" s="35"/>
      <c r="X42" s="35"/>
      <c r="Y42" s="35"/>
      <c r="Z42" s="35"/>
      <c r="AA42" s="46"/>
      <c r="AB42" s="91"/>
      <c r="AC42" s="46"/>
      <c r="AD42" s="53"/>
      <c r="AE42" s="34"/>
      <c r="AF42" s="34"/>
      <c r="AG42" s="34"/>
    </row>
    <row r="43" spans="1:33" ht="14.5" x14ac:dyDescent="0.35">
      <c r="A43" s="32">
        <v>7720</v>
      </c>
      <c r="B43" s="16" t="s">
        <v>34</v>
      </c>
      <c r="C43" s="88">
        <v>3000</v>
      </c>
      <c r="D43" s="44">
        <v>3026</v>
      </c>
      <c r="E43" s="88">
        <v>2000</v>
      </c>
      <c r="F43" s="44">
        <v>1337</v>
      </c>
      <c r="G43" s="88">
        <v>4000</v>
      </c>
      <c r="H43" s="18"/>
      <c r="I43" s="51">
        <v>2000</v>
      </c>
      <c r="J43" s="18">
        <v>500</v>
      </c>
      <c r="K43" s="18">
        <v>0</v>
      </c>
      <c r="L43" s="18">
        <v>500</v>
      </c>
      <c r="M43" s="18">
        <v>0</v>
      </c>
      <c r="N43" s="51">
        <v>500</v>
      </c>
      <c r="O43" s="18">
        <v>0</v>
      </c>
      <c r="P43" s="18">
        <v>500</v>
      </c>
      <c r="Q43" s="18">
        <v>310</v>
      </c>
      <c r="R43" s="18"/>
      <c r="S43" s="18">
        <v>267</v>
      </c>
      <c r="T43" s="18"/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9">
        <v>0</v>
      </c>
      <c r="AA43" s="44">
        <v>2276</v>
      </c>
      <c r="AB43" s="88">
        <v>4000</v>
      </c>
      <c r="AC43" s="44">
        <v>1948</v>
      </c>
      <c r="AD43" s="51">
        <v>1626</v>
      </c>
      <c r="AE43" s="18">
        <v>0</v>
      </c>
      <c r="AF43" s="18">
        <v>0</v>
      </c>
      <c r="AG43" s="18"/>
    </row>
    <row r="44" spans="1:33" ht="14.5" x14ac:dyDescent="0.35">
      <c r="A44" s="32">
        <v>7730</v>
      </c>
      <c r="B44" s="16" t="s">
        <v>35</v>
      </c>
      <c r="C44" s="88">
        <v>5500</v>
      </c>
      <c r="D44" s="44">
        <v>0</v>
      </c>
      <c r="E44" s="88">
        <v>500</v>
      </c>
      <c r="F44" s="44">
        <v>895</v>
      </c>
      <c r="G44" s="88">
        <v>3000</v>
      </c>
      <c r="H44" s="18">
        <v>2000</v>
      </c>
      <c r="I44" s="51">
        <v>4000</v>
      </c>
      <c r="J44" s="18">
        <v>2000</v>
      </c>
      <c r="K44" s="18">
        <v>934</v>
      </c>
      <c r="L44" s="18">
        <v>3000</v>
      </c>
      <c r="M44" s="18">
        <v>2098</v>
      </c>
      <c r="N44" s="51">
        <v>2000</v>
      </c>
      <c r="O44" s="18">
        <v>2098</v>
      </c>
      <c r="P44" s="18">
        <v>2000</v>
      </c>
      <c r="Q44" s="18">
        <v>1431</v>
      </c>
      <c r="R44" s="18">
        <v>4000</v>
      </c>
      <c r="S44" s="18">
        <v>0</v>
      </c>
      <c r="T44" s="18">
        <v>4000</v>
      </c>
      <c r="U44" s="18">
        <v>307</v>
      </c>
      <c r="V44" s="18">
        <v>4000</v>
      </c>
      <c r="W44" s="18">
        <v>3514</v>
      </c>
      <c r="X44" s="18">
        <f>4289+4578.5</f>
        <v>8867.5</v>
      </c>
      <c r="Y44" s="18">
        <f>2508+1310+785</f>
        <v>4603</v>
      </c>
      <c r="Z44" s="19">
        <v>0</v>
      </c>
      <c r="AA44" s="44">
        <v>0</v>
      </c>
      <c r="AB44" s="88">
        <v>3000</v>
      </c>
      <c r="AC44" s="44">
        <v>0</v>
      </c>
      <c r="AD44" s="51">
        <v>2348</v>
      </c>
      <c r="AE44" s="18">
        <v>1011</v>
      </c>
      <c r="AF44" s="18">
        <v>1935</v>
      </c>
      <c r="AG44" s="18"/>
    </row>
    <row r="45" spans="1:33" ht="14.5" x14ac:dyDescent="0.35">
      <c r="A45" s="68">
        <v>7790</v>
      </c>
      <c r="B45" s="61" t="s">
        <v>36</v>
      </c>
      <c r="C45" s="89">
        <v>10000</v>
      </c>
      <c r="D45" s="69" t="s">
        <v>76</v>
      </c>
      <c r="E45" s="89">
        <v>12000</v>
      </c>
      <c r="F45" s="69">
        <v>9855</v>
      </c>
      <c r="G45" s="89">
        <v>10000</v>
      </c>
      <c r="H45" s="71">
        <v>1000</v>
      </c>
      <c r="I45" s="70">
        <v>1000</v>
      </c>
      <c r="J45" s="71">
        <v>1000</v>
      </c>
      <c r="K45" s="71">
        <f>919+36</f>
        <v>955</v>
      </c>
      <c r="L45" s="71">
        <v>100</v>
      </c>
      <c r="M45" s="71">
        <v>36</v>
      </c>
      <c r="N45" s="70">
        <v>100</v>
      </c>
      <c r="O45" s="71">
        <f>78+73</f>
        <v>151</v>
      </c>
      <c r="P45" s="71">
        <v>100</v>
      </c>
      <c r="Q45" s="71">
        <v>30</v>
      </c>
      <c r="R45" s="71">
        <v>100</v>
      </c>
      <c r="S45" s="71">
        <v>47</v>
      </c>
      <c r="T45" s="71">
        <v>100</v>
      </c>
      <c r="U45" s="71">
        <f>36+39</f>
        <v>75</v>
      </c>
      <c r="V45" s="71">
        <v>100</v>
      </c>
      <c r="W45" s="63">
        <f>4+2+3+3</f>
        <v>12</v>
      </c>
      <c r="X45" s="63">
        <v>112</v>
      </c>
      <c r="Y45" s="63">
        <f>16+90+36</f>
        <v>142</v>
      </c>
      <c r="Z45" s="63">
        <f>2+90+2</f>
        <v>94</v>
      </c>
      <c r="AA45" s="69">
        <v>1624</v>
      </c>
      <c r="AB45" s="89">
        <v>0</v>
      </c>
      <c r="AC45" s="69">
        <v>0</v>
      </c>
      <c r="AD45" s="70">
        <v>636</v>
      </c>
      <c r="AE45" s="71">
        <v>0</v>
      </c>
      <c r="AF45" s="71">
        <f>267+299</f>
        <v>566</v>
      </c>
      <c r="AG45" s="71"/>
    </row>
    <row r="46" spans="1:33" s="2" customFormat="1" ht="15.5" x14ac:dyDescent="0.35">
      <c r="A46" s="21"/>
      <c r="B46" s="10" t="s">
        <v>37</v>
      </c>
      <c r="C46" s="90">
        <v>89000</v>
      </c>
      <c r="D46" s="45">
        <v>62575</v>
      </c>
      <c r="E46" s="90">
        <v>61000</v>
      </c>
      <c r="F46" s="45">
        <v>68264</v>
      </c>
      <c r="G46" s="90">
        <f t="shared" ref="G46" si="9">SUM(G21:G45)</f>
        <v>65000</v>
      </c>
      <c r="H46" s="25">
        <f t="shared" ref="H46:K46" si="10">SUM(H21:H45)</f>
        <v>42000</v>
      </c>
      <c r="I46" s="52">
        <f t="shared" si="10"/>
        <v>48500</v>
      </c>
      <c r="J46" s="25">
        <f t="shared" si="10"/>
        <v>31000</v>
      </c>
      <c r="K46" s="25">
        <f t="shared" si="10"/>
        <v>37777</v>
      </c>
      <c r="L46" s="25">
        <f t="shared" ref="L46:O46" si="11">SUM(L21:L45)</f>
        <v>26100</v>
      </c>
      <c r="M46" s="25">
        <f t="shared" si="11"/>
        <v>45567.030000000006</v>
      </c>
      <c r="N46" s="52">
        <f t="shared" si="11"/>
        <v>25100</v>
      </c>
      <c r="O46" s="25">
        <f t="shared" si="11"/>
        <v>21225.22</v>
      </c>
      <c r="P46" s="25">
        <f t="shared" ref="P46:U46" si="12">SUM(P21:P45)</f>
        <v>29600</v>
      </c>
      <c r="Q46" s="25">
        <f t="shared" si="12"/>
        <v>33498.5</v>
      </c>
      <c r="R46" s="25">
        <f t="shared" si="12"/>
        <v>35100</v>
      </c>
      <c r="S46" s="25">
        <f t="shared" si="12"/>
        <v>35713.64</v>
      </c>
      <c r="T46" s="25">
        <f t="shared" si="12"/>
        <v>34600</v>
      </c>
      <c r="U46" s="25">
        <f t="shared" si="12"/>
        <v>31370.41</v>
      </c>
      <c r="V46" s="25">
        <f>SUM(V21:V45)</f>
        <v>20600</v>
      </c>
      <c r="W46" s="13">
        <f>SUM(W21:W45)</f>
        <v>22886</v>
      </c>
      <c r="X46" s="13">
        <f>SUM(X21:X45)</f>
        <v>24299.5</v>
      </c>
      <c r="Y46" s="13">
        <f>SUM(Y21:Y45)</f>
        <v>20557.04</v>
      </c>
      <c r="Z46" s="13">
        <f>SUM(Z21:Z45)</f>
        <v>8862.75</v>
      </c>
      <c r="AA46" s="45">
        <f t="shared" ref="AA46:AB46" si="13">SUM(AA21:AA45)</f>
        <v>38709</v>
      </c>
      <c r="AB46" s="90">
        <f t="shared" si="13"/>
        <v>37000</v>
      </c>
      <c r="AC46" s="45">
        <f t="shared" ref="AC46" si="14">SUM(AC21:AC45)</f>
        <v>31491</v>
      </c>
      <c r="AD46" s="52">
        <f t="shared" ref="AD46" si="15">SUM(AD21:AD45)</f>
        <v>36640</v>
      </c>
      <c r="AE46" s="25">
        <f t="shared" ref="AE46" si="16">SUM(AE21:AE45)</f>
        <v>29370.420000000002</v>
      </c>
      <c r="AF46" s="25">
        <f t="shared" ref="AF46" si="17">SUM(AF21:AF45)</f>
        <v>42664.800000000003</v>
      </c>
      <c r="AG46" s="25"/>
    </row>
    <row r="47" spans="1:33" ht="13" x14ac:dyDescent="0.3">
      <c r="A47" s="72"/>
      <c r="B47" s="64"/>
      <c r="C47" s="92"/>
      <c r="D47" s="73"/>
      <c r="E47" s="92"/>
      <c r="F47" s="73"/>
      <c r="G47" s="92"/>
      <c r="H47" s="75"/>
      <c r="I47" s="74"/>
      <c r="J47" s="75"/>
      <c r="K47" s="75"/>
      <c r="L47" s="75"/>
      <c r="M47" s="75"/>
      <c r="N47" s="74"/>
      <c r="O47" s="75"/>
      <c r="P47" s="75"/>
      <c r="Q47" s="75"/>
      <c r="R47" s="75"/>
      <c r="S47" s="75"/>
      <c r="T47" s="75"/>
      <c r="U47" s="75"/>
      <c r="V47" s="75"/>
      <c r="W47" s="76"/>
      <c r="X47" s="76"/>
      <c r="Y47" s="76"/>
      <c r="Z47" s="64"/>
      <c r="AA47" s="73"/>
      <c r="AB47" s="92"/>
      <c r="AC47" s="73"/>
      <c r="AD47" s="74"/>
      <c r="AE47" s="75"/>
      <c r="AF47" s="75"/>
      <c r="AG47" s="75"/>
    </row>
    <row r="48" spans="1:33" s="2" customFormat="1" ht="15.5" x14ac:dyDescent="0.35">
      <c r="A48" s="21"/>
      <c r="B48" s="10" t="s">
        <v>38</v>
      </c>
      <c r="C48" s="90">
        <v>-5000</v>
      </c>
      <c r="D48" s="45">
        <v>41117</v>
      </c>
      <c r="E48" s="90">
        <v>5000</v>
      </c>
      <c r="F48" s="45">
        <v>12228</v>
      </c>
      <c r="G48" s="90">
        <f t="shared" ref="G48" si="18">G18-G46</f>
        <v>-23500</v>
      </c>
      <c r="H48" s="25">
        <f t="shared" ref="H48:K48" si="19">H18-H46</f>
        <v>17500</v>
      </c>
      <c r="I48" s="52">
        <f t="shared" si="19"/>
        <v>11000</v>
      </c>
      <c r="J48" s="25">
        <f t="shared" si="19"/>
        <v>11000</v>
      </c>
      <c r="K48" s="25">
        <f t="shared" si="19"/>
        <v>3542</v>
      </c>
      <c r="L48" s="25">
        <f t="shared" ref="L48:O48" si="20">L18-L46</f>
        <v>12900</v>
      </c>
      <c r="M48" s="25">
        <f t="shared" si="20"/>
        <v>-8114.6100000000079</v>
      </c>
      <c r="N48" s="52">
        <f t="shared" si="20"/>
        <v>11900</v>
      </c>
      <c r="O48" s="25">
        <f t="shared" si="20"/>
        <v>9517.02</v>
      </c>
      <c r="P48" s="25">
        <f>P18-P46</f>
        <v>11400</v>
      </c>
      <c r="Q48" s="25">
        <f>Q18-Q46</f>
        <v>13797.5</v>
      </c>
      <c r="R48" s="25">
        <f>R18-R46</f>
        <v>7000</v>
      </c>
      <c r="S48" s="25">
        <f>S18-S46</f>
        <v>3404.3600000000006</v>
      </c>
      <c r="T48" s="25">
        <f t="shared" ref="T48:Z48" si="21">T18-T46</f>
        <v>9400</v>
      </c>
      <c r="U48" s="25">
        <f t="shared" si="21"/>
        <v>4899.59</v>
      </c>
      <c r="V48" s="25">
        <f t="shared" si="21"/>
        <v>22900</v>
      </c>
      <c r="W48" s="13">
        <f t="shared" si="21"/>
        <v>16199</v>
      </c>
      <c r="X48" s="13">
        <f t="shared" si="21"/>
        <v>26331</v>
      </c>
      <c r="Y48" s="13">
        <f t="shared" si="21"/>
        <v>-14757.04</v>
      </c>
      <c r="Z48" s="13">
        <f t="shared" si="21"/>
        <v>18796.25</v>
      </c>
      <c r="AA48" s="45">
        <f t="shared" ref="AA48:AB48" si="22">AA18-AA46</f>
        <v>65284.17</v>
      </c>
      <c r="AB48" s="90">
        <f t="shared" si="22"/>
        <v>1000</v>
      </c>
      <c r="AC48" s="45">
        <f t="shared" ref="AC48" si="23">AC18-AC46</f>
        <v>8988</v>
      </c>
      <c r="AD48" s="52">
        <f t="shared" ref="AD48" si="24">AD18-AD46</f>
        <v>17255.89</v>
      </c>
      <c r="AE48" s="25">
        <f t="shared" ref="AE48" si="25">AE18-AE46</f>
        <v>33556.559999999998</v>
      </c>
      <c r="AF48" s="25">
        <f t="shared" ref="AF48" si="26">AF18-AF46</f>
        <v>25683.430000000008</v>
      </c>
      <c r="AG48" s="25"/>
    </row>
    <row r="49" spans="1:33" ht="13" x14ac:dyDescent="0.3">
      <c r="A49" s="23"/>
      <c r="B49" s="6"/>
      <c r="C49" s="84"/>
      <c r="D49" s="40"/>
      <c r="E49" s="84"/>
      <c r="F49" s="40"/>
      <c r="G49" s="84"/>
      <c r="H49" s="11"/>
      <c r="I49" s="47"/>
      <c r="J49" s="11"/>
      <c r="K49" s="11"/>
      <c r="L49" s="11"/>
      <c r="M49" s="11"/>
      <c r="N49" s="47"/>
      <c r="O49" s="11"/>
      <c r="P49" s="11"/>
      <c r="Q49" s="11"/>
      <c r="R49" s="11"/>
      <c r="S49" s="11"/>
      <c r="T49" s="11"/>
      <c r="U49" s="11"/>
      <c r="V49" s="11"/>
      <c r="W49" s="12"/>
      <c r="X49" s="12"/>
      <c r="Y49" s="12"/>
      <c r="Z49" s="6"/>
      <c r="AA49" s="40"/>
      <c r="AB49" s="84"/>
      <c r="AC49" s="40"/>
      <c r="AD49" s="47"/>
      <c r="AE49" s="11"/>
      <c r="AF49" s="11"/>
      <c r="AG49" s="11"/>
    </row>
    <row r="50" spans="1:33" s="2" customFormat="1" ht="15.5" x14ac:dyDescent="0.35">
      <c r="A50" s="21"/>
      <c r="B50" s="10" t="s">
        <v>39</v>
      </c>
      <c r="C50" s="90"/>
      <c r="D50" s="45"/>
      <c r="E50" s="90"/>
      <c r="F50" s="45"/>
      <c r="G50" s="90"/>
      <c r="H50" s="25"/>
      <c r="I50" s="52"/>
      <c r="J50" s="25"/>
      <c r="K50" s="25"/>
      <c r="L50" s="25"/>
      <c r="M50" s="25"/>
      <c r="N50" s="52"/>
      <c r="O50" s="25"/>
      <c r="P50" s="25"/>
      <c r="Q50" s="25"/>
      <c r="R50" s="25"/>
      <c r="S50" s="25"/>
      <c r="T50" s="25"/>
      <c r="U50" s="25"/>
      <c r="V50" s="25"/>
      <c r="W50" s="13"/>
      <c r="X50" s="13"/>
      <c r="Y50" s="13"/>
      <c r="Z50" s="10"/>
      <c r="AA50" s="45"/>
      <c r="AB50" s="90"/>
      <c r="AC50" s="45"/>
      <c r="AD50" s="52"/>
      <c r="AE50" s="25"/>
      <c r="AF50" s="25"/>
      <c r="AG50" s="25"/>
    </row>
    <row r="51" spans="1:33" ht="14.5" x14ac:dyDescent="0.35">
      <c r="A51" s="32">
        <v>8050</v>
      </c>
      <c r="B51" s="16" t="s">
        <v>40</v>
      </c>
      <c r="C51" s="88"/>
      <c r="D51" s="44">
        <v>0</v>
      </c>
      <c r="E51" s="88">
        <v>0</v>
      </c>
      <c r="F51" s="44">
        <v>0</v>
      </c>
      <c r="G51" s="88">
        <v>0</v>
      </c>
      <c r="H51" s="18">
        <v>0</v>
      </c>
      <c r="I51" s="51">
        <v>0</v>
      </c>
      <c r="J51" s="18">
        <v>0</v>
      </c>
      <c r="K51" s="18">
        <v>112.79</v>
      </c>
      <c r="L51" s="18">
        <v>500</v>
      </c>
      <c r="M51" s="18">
        <v>222.61</v>
      </c>
      <c r="N51" s="51">
        <v>1000</v>
      </c>
      <c r="O51" s="18">
        <v>973.86</v>
      </c>
      <c r="P51" s="18">
        <v>100</v>
      </c>
      <c r="Q51" s="18">
        <v>93.99</v>
      </c>
      <c r="R51" s="18">
        <v>100</v>
      </c>
      <c r="S51" s="18">
        <v>95.38</v>
      </c>
      <c r="T51" s="18">
        <v>100</v>
      </c>
      <c r="U51" s="18">
        <v>115.1</v>
      </c>
      <c r="V51" s="18">
        <v>100</v>
      </c>
      <c r="W51" s="19">
        <v>96.45</v>
      </c>
      <c r="X51" s="19">
        <v>183.77</v>
      </c>
      <c r="Y51" s="19">
        <v>68.63</v>
      </c>
      <c r="Z51" s="19">
        <v>53.83</v>
      </c>
      <c r="AA51" s="44">
        <v>0</v>
      </c>
      <c r="AB51" s="88">
        <v>0</v>
      </c>
      <c r="AC51" s="44">
        <v>0</v>
      </c>
      <c r="AD51" s="51">
        <v>41.551000000000002</v>
      </c>
      <c r="AE51" s="18">
        <v>87.16</v>
      </c>
      <c r="AF51" s="18">
        <v>67.03</v>
      </c>
      <c r="AG51" s="18"/>
    </row>
    <row r="52" spans="1:33" ht="14.5" x14ac:dyDescent="0.35">
      <c r="A52" s="32">
        <v>8150</v>
      </c>
      <c r="B52" s="16" t="s">
        <v>41</v>
      </c>
      <c r="C52" s="88"/>
      <c r="D52" s="44">
        <v>0</v>
      </c>
      <c r="E52" s="88">
        <v>0</v>
      </c>
      <c r="F52" s="44">
        <v>0</v>
      </c>
      <c r="G52" s="88">
        <v>0</v>
      </c>
      <c r="H52" s="18">
        <v>0</v>
      </c>
      <c r="I52" s="51">
        <v>0</v>
      </c>
      <c r="J52" s="18">
        <v>0</v>
      </c>
      <c r="K52" s="18">
        <v>0</v>
      </c>
      <c r="L52" s="18">
        <v>0</v>
      </c>
      <c r="M52" s="18">
        <v>0</v>
      </c>
      <c r="N52" s="51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9">
        <v>0</v>
      </c>
      <c r="X52" s="19">
        <v>0</v>
      </c>
      <c r="Y52" s="19">
        <v>0</v>
      </c>
      <c r="Z52" s="19">
        <v>0</v>
      </c>
      <c r="AA52" s="44">
        <v>0</v>
      </c>
      <c r="AB52" s="88">
        <v>0</v>
      </c>
      <c r="AC52" s="44">
        <v>0</v>
      </c>
      <c r="AD52" s="51">
        <v>0</v>
      </c>
      <c r="AE52" s="18">
        <v>0</v>
      </c>
      <c r="AF52" s="18">
        <v>0</v>
      </c>
      <c r="AG52" s="18"/>
    </row>
    <row r="53" spans="1:33" ht="14.5" x14ac:dyDescent="0.35">
      <c r="A53" s="68">
        <v>8170</v>
      </c>
      <c r="B53" s="61" t="s">
        <v>42</v>
      </c>
      <c r="C53" s="89"/>
      <c r="D53" s="69">
        <v>0</v>
      </c>
      <c r="E53" s="89">
        <v>0</v>
      </c>
      <c r="F53" s="69">
        <v>0</v>
      </c>
      <c r="G53" s="89">
        <v>0</v>
      </c>
      <c r="H53" s="71">
        <v>0</v>
      </c>
      <c r="I53" s="70">
        <v>0</v>
      </c>
      <c r="J53" s="71">
        <v>0</v>
      </c>
      <c r="K53" s="71">
        <v>0</v>
      </c>
      <c r="L53" s="71">
        <v>0</v>
      </c>
      <c r="M53" s="71">
        <v>0</v>
      </c>
      <c r="N53" s="70">
        <v>0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1">
        <v>0</v>
      </c>
      <c r="X53" s="71">
        <v>0</v>
      </c>
      <c r="Y53" s="63">
        <v>0</v>
      </c>
      <c r="Z53" s="63">
        <v>0</v>
      </c>
      <c r="AA53" s="69">
        <v>0</v>
      </c>
      <c r="AB53" s="89">
        <v>0</v>
      </c>
      <c r="AC53" s="69">
        <v>0</v>
      </c>
      <c r="AD53" s="70">
        <v>0</v>
      </c>
      <c r="AE53" s="71">
        <v>0</v>
      </c>
      <c r="AF53" s="71">
        <v>0</v>
      </c>
      <c r="AG53" s="71"/>
    </row>
    <row r="54" spans="1:33" s="2" customFormat="1" ht="15.5" x14ac:dyDescent="0.35">
      <c r="A54" s="21"/>
      <c r="B54" s="10" t="s">
        <v>43</v>
      </c>
      <c r="C54" s="90"/>
      <c r="D54" s="45">
        <v>0</v>
      </c>
      <c r="E54" s="90">
        <v>0</v>
      </c>
      <c r="F54" s="45">
        <v>0</v>
      </c>
      <c r="G54" s="90">
        <f t="shared" ref="G54" si="27">G51+G52+G53</f>
        <v>0</v>
      </c>
      <c r="H54" s="25">
        <f t="shared" ref="H54:U54" si="28">H51+H52+H53</f>
        <v>0</v>
      </c>
      <c r="I54" s="52">
        <f t="shared" ref="I54" si="29">I51+I52+I53</f>
        <v>0</v>
      </c>
      <c r="J54" s="25">
        <f t="shared" si="28"/>
        <v>0</v>
      </c>
      <c r="K54" s="25">
        <f t="shared" si="28"/>
        <v>112.79</v>
      </c>
      <c r="L54" s="25">
        <f t="shared" si="28"/>
        <v>500</v>
      </c>
      <c r="M54" s="25">
        <f t="shared" si="28"/>
        <v>222.61</v>
      </c>
      <c r="N54" s="52">
        <f t="shared" si="28"/>
        <v>1000</v>
      </c>
      <c r="O54" s="25">
        <f t="shared" si="28"/>
        <v>973.86</v>
      </c>
      <c r="P54" s="25">
        <f t="shared" si="28"/>
        <v>100</v>
      </c>
      <c r="Q54" s="25">
        <f t="shared" si="28"/>
        <v>93.99</v>
      </c>
      <c r="R54" s="25">
        <f t="shared" si="28"/>
        <v>100</v>
      </c>
      <c r="S54" s="25">
        <f t="shared" si="28"/>
        <v>95.38</v>
      </c>
      <c r="T54" s="25">
        <f t="shared" si="28"/>
        <v>100</v>
      </c>
      <c r="U54" s="25">
        <f t="shared" si="28"/>
        <v>115.1</v>
      </c>
      <c r="V54" s="25">
        <f>V51+V52+V53</f>
        <v>100</v>
      </c>
      <c r="W54" s="13">
        <f>W51+W52+W53</f>
        <v>96.45</v>
      </c>
      <c r="X54" s="13">
        <f>X51+X52+X53</f>
        <v>183.77</v>
      </c>
      <c r="Y54" s="13">
        <f>Y51+Y52+Y53</f>
        <v>68.63</v>
      </c>
      <c r="Z54" s="13">
        <f>Z51+Z52+Z53</f>
        <v>53.83</v>
      </c>
      <c r="AA54" s="45">
        <v>0</v>
      </c>
      <c r="AB54" s="90">
        <f t="shared" ref="AB54" si="30">AB51+AB52+AB53</f>
        <v>0</v>
      </c>
      <c r="AC54" s="45">
        <f t="shared" ref="AC54" si="31">AC51+AC52+AC53</f>
        <v>0</v>
      </c>
      <c r="AD54" s="52">
        <f t="shared" ref="AD54" si="32">AD51+AD52+AD53</f>
        <v>41.551000000000002</v>
      </c>
      <c r="AE54" s="25">
        <f t="shared" ref="AE54" si="33">AE51+AE52+AE53</f>
        <v>87.16</v>
      </c>
      <c r="AF54" s="25">
        <f t="shared" ref="AF54" si="34">AF51+AF52+AF53</f>
        <v>67.03</v>
      </c>
      <c r="AG54" s="25"/>
    </row>
    <row r="55" spans="1:33" ht="13" x14ac:dyDescent="0.3">
      <c r="A55" s="23"/>
      <c r="B55" s="6"/>
      <c r="C55" s="84"/>
      <c r="D55" s="40"/>
      <c r="E55" s="84"/>
      <c r="F55" s="40"/>
      <c r="G55" s="84"/>
      <c r="H55" s="11"/>
      <c r="I55" s="47"/>
      <c r="J55" s="11"/>
      <c r="K55" s="11"/>
      <c r="L55" s="11"/>
      <c r="M55" s="11"/>
      <c r="N55" s="47"/>
      <c r="O55" s="11"/>
      <c r="P55" s="11"/>
      <c r="Q55" s="11"/>
      <c r="R55" s="11"/>
      <c r="S55" s="11"/>
      <c r="T55" s="11"/>
      <c r="U55" s="11"/>
      <c r="V55" s="11"/>
      <c r="W55" s="12"/>
      <c r="X55" s="12"/>
      <c r="Y55" s="12"/>
      <c r="Z55" s="12"/>
      <c r="AA55" s="40"/>
      <c r="AB55" s="84"/>
      <c r="AC55" s="40"/>
      <c r="AD55" s="47"/>
      <c r="AE55" s="11"/>
      <c r="AF55" s="11"/>
      <c r="AG55" s="11"/>
    </row>
    <row r="56" spans="1:33" s="2" customFormat="1" ht="15.5" x14ac:dyDescent="0.35">
      <c r="A56" s="57"/>
      <c r="B56" s="57" t="s">
        <v>44</v>
      </c>
      <c r="C56" s="58">
        <v>-5000</v>
      </c>
      <c r="D56" s="58">
        <v>41117</v>
      </c>
      <c r="E56" s="58">
        <v>5000</v>
      </c>
      <c r="F56" s="58">
        <v>12228</v>
      </c>
      <c r="G56" s="58">
        <f t="shared" ref="G56" si="35">G18-G46+G54</f>
        <v>-23500</v>
      </c>
      <c r="H56" s="58">
        <f t="shared" ref="H56:U56" si="36">H18-H46+H54</f>
        <v>17500</v>
      </c>
      <c r="I56" s="58">
        <f t="shared" ref="I56" si="37">I18-I46+I54</f>
        <v>11000</v>
      </c>
      <c r="J56" s="58">
        <f t="shared" si="36"/>
        <v>11000</v>
      </c>
      <c r="K56" s="58">
        <f t="shared" si="36"/>
        <v>3654.79</v>
      </c>
      <c r="L56" s="58">
        <f t="shared" si="36"/>
        <v>13400</v>
      </c>
      <c r="M56" s="58">
        <f t="shared" si="36"/>
        <v>-7892.0000000000082</v>
      </c>
      <c r="N56" s="58">
        <f t="shared" si="36"/>
        <v>12900</v>
      </c>
      <c r="O56" s="58">
        <f t="shared" si="36"/>
        <v>10490.880000000001</v>
      </c>
      <c r="P56" s="56">
        <f t="shared" si="36"/>
        <v>11500</v>
      </c>
      <c r="Q56" s="30">
        <f t="shared" si="36"/>
        <v>13891.49</v>
      </c>
      <c r="R56" s="30">
        <f t="shared" si="36"/>
        <v>7100</v>
      </c>
      <c r="S56" s="30">
        <f t="shared" si="36"/>
        <v>3499.7400000000007</v>
      </c>
      <c r="T56" s="30">
        <f t="shared" si="36"/>
        <v>9500</v>
      </c>
      <c r="U56" s="30">
        <f t="shared" si="36"/>
        <v>5014.6900000000005</v>
      </c>
      <c r="V56" s="30">
        <f>V18-V46+V54</f>
        <v>23000</v>
      </c>
      <c r="W56" s="15">
        <f>W18-W46+W54</f>
        <v>16295.45</v>
      </c>
      <c r="X56" s="15">
        <f>X18-X46+X54</f>
        <v>26514.77</v>
      </c>
      <c r="Y56" s="15">
        <f>Y18-Y46+Y54</f>
        <v>-14688.410000000002</v>
      </c>
      <c r="Z56" s="15">
        <f>Z18-Z46+Z54</f>
        <v>18850.080000000002</v>
      </c>
      <c r="AA56" s="58">
        <f t="shared" ref="AA56:AB56" si="38">AA18-AA46+AA54</f>
        <v>65284.17</v>
      </c>
      <c r="AB56" s="58">
        <f t="shared" si="38"/>
        <v>1000</v>
      </c>
      <c r="AC56" s="58">
        <f t="shared" ref="AC56" si="39">AC18-AC46+AC54</f>
        <v>8988</v>
      </c>
      <c r="AD56" s="58">
        <f t="shared" ref="AD56" si="40">AD18-AD46+AD54</f>
        <v>17297.440999999999</v>
      </c>
      <c r="AE56" s="58">
        <f t="shared" ref="AE56" si="41">AE18-AE46+AE54</f>
        <v>33643.72</v>
      </c>
      <c r="AF56" s="58">
        <f t="shared" ref="AF56" si="42">AF18-AF46+AF54</f>
        <v>25750.460000000006</v>
      </c>
      <c r="AG56" s="58"/>
    </row>
    <row r="57" spans="1:33" ht="13" x14ac:dyDescent="0.3">
      <c r="A57" s="7"/>
      <c r="B57" s="6"/>
      <c r="C57" s="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6"/>
      <c r="X57" s="6"/>
      <c r="Y57" s="6"/>
      <c r="Z57" s="6"/>
    </row>
    <row r="58" spans="1:33" ht="13" x14ac:dyDescent="0.3">
      <c r="A58" s="7"/>
      <c r="B58" s="6"/>
      <c r="C58" s="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6"/>
      <c r="X58" s="6"/>
      <c r="Y58" s="6"/>
      <c r="Z58" s="6"/>
    </row>
    <row r="59" spans="1:33" ht="13" x14ac:dyDescent="0.3">
      <c r="A59" s="31" t="s">
        <v>45</v>
      </c>
      <c r="B59" s="6"/>
      <c r="C59" s="6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6"/>
      <c r="X59" s="6"/>
      <c r="Y59" s="6"/>
      <c r="Z59" s="6"/>
    </row>
    <row r="60" spans="1:33" x14ac:dyDescent="0.25">
      <c r="B60" s="5"/>
      <c r="C60" s="5"/>
    </row>
    <row r="61" spans="1:33" x14ac:dyDescent="0.25">
      <c r="B61" s="4"/>
      <c r="C61" s="4"/>
    </row>
    <row r="62" spans="1:33" x14ac:dyDescent="0.25">
      <c r="B62" s="5"/>
      <c r="C62" s="5"/>
    </row>
  </sheetData>
  <mergeCells count="2">
    <mergeCell ref="A1:I1"/>
    <mergeCell ref="A3:I3"/>
  </mergeCells>
  <phoneticPr fontId="0" type="noConversion"/>
  <pageMargins left="0.78740157480314965" right="0.39370078740157483" top="0.39370078740157483" bottom="0.39370078740157483" header="0" footer="0"/>
  <pageSetup paperSize="9" scale="82" fitToHeight="0" orientation="portrait" r:id="rId1"/>
  <headerFooter alignWithMargins="0">
    <oddFooter>&amp;L&amp;1#&amp;"Times New Roman"&amp;8&amp;K000000Sensitivity: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1"/>
  <sheetViews>
    <sheetView zoomScaleNormal="100" zoomScaleSheetLayoutView="100" workbookViewId="0">
      <pane ySplit="5" topLeftCell="A15" activePane="bottomLeft" state="frozen"/>
      <selection activeCell="B20" sqref="B20"/>
      <selection pane="bottomLeft" activeCell="A4" sqref="A4"/>
    </sheetView>
  </sheetViews>
  <sheetFormatPr baseColWidth="10" defaultColWidth="11.453125" defaultRowHeight="13" x14ac:dyDescent="0.3"/>
  <cols>
    <col min="1" max="1" width="6.36328125" style="6" bestFit="1" customWidth="1"/>
    <col min="2" max="2" width="34.1796875" style="6" bestFit="1" customWidth="1"/>
    <col min="3" max="3" width="13.453125" style="6" customWidth="1"/>
    <col min="4" max="4" width="14.36328125" style="6" customWidth="1"/>
    <col min="5" max="7" width="13.453125" style="6" customWidth="1"/>
    <col min="8" max="15" width="13.453125" style="6" hidden="1" customWidth="1"/>
    <col min="16" max="17" width="14" style="6" hidden="1" customWidth="1"/>
    <col min="18" max="16384" width="11.453125" style="6"/>
  </cols>
  <sheetData>
    <row r="1" spans="1:19" ht="26" x14ac:dyDescent="0.6">
      <c r="A1" s="102" t="s">
        <v>0</v>
      </c>
      <c r="B1" s="102"/>
      <c r="C1" s="102"/>
      <c r="D1" s="102"/>
      <c r="E1" s="102"/>
      <c r="F1" s="102"/>
      <c r="G1" s="102"/>
      <c r="H1" s="29"/>
      <c r="I1" s="29"/>
      <c r="J1" s="29"/>
      <c r="K1" s="29"/>
      <c r="L1" s="29"/>
      <c r="M1" s="29"/>
      <c r="N1" s="29"/>
      <c r="O1" s="29"/>
      <c r="P1" s="29"/>
    </row>
    <row r="2" spans="1:19" hidden="1" x14ac:dyDescent="0.3">
      <c r="A2" s="7"/>
    </row>
    <row r="3" spans="1:19" ht="28.5" x14ac:dyDescent="0.65">
      <c r="A3" s="102" t="s">
        <v>80</v>
      </c>
      <c r="B3" s="102"/>
      <c r="C3" s="102"/>
      <c r="D3" s="102"/>
      <c r="E3" s="102"/>
      <c r="F3" s="102"/>
      <c r="G3" s="102"/>
      <c r="H3" s="29"/>
      <c r="I3" s="29"/>
      <c r="J3" s="29"/>
      <c r="K3" s="29"/>
      <c r="L3" s="29"/>
      <c r="M3" s="29"/>
      <c r="N3" s="29"/>
      <c r="O3" s="29"/>
      <c r="P3" s="29"/>
      <c r="Q3" s="8"/>
      <c r="R3" s="8"/>
    </row>
    <row r="4" spans="1:19" ht="23" customHeight="1" x14ac:dyDescent="0.3"/>
    <row r="5" spans="1:19" ht="23.5" x14ac:dyDescent="0.55000000000000004">
      <c r="B5" s="9" t="s">
        <v>2</v>
      </c>
      <c r="C5" s="97">
        <v>45657</v>
      </c>
      <c r="D5" s="98">
        <v>45291</v>
      </c>
      <c r="E5" s="99">
        <v>44926</v>
      </c>
      <c r="F5" s="99">
        <v>44561</v>
      </c>
      <c r="G5" s="99">
        <v>44196</v>
      </c>
      <c r="H5" s="99">
        <v>43100</v>
      </c>
      <c r="I5" s="99">
        <v>42735</v>
      </c>
      <c r="J5" s="99">
        <v>42369</v>
      </c>
      <c r="K5" s="99">
        <v>42004</v>
      </c>
      <c r="L5" s="99">
        <v>41639</v>
      </c>
      <c r="M5" s="99">
        <v>41274</v>
      </c>
      <c r="N5" s="99">
        <v>40908</v>
      </c>
      <c r="O5" s="99">
        <v>40543</v>
      </c>
      <c r="P5" s="99">
        <v>40117</v>
      </c>
      <c r="Q5" s="99">
        <v>39782</v>
      </c>
      <c r="R5" s="99">
        <v>43830</v>
      </c>
      <c r="S5" s="99">
        <v>43465</v>
      </c>
    </row>
    <row r="6" spans="1:19" ht="15.5" x14ac:dyDescent="0.35">
      <c r="B6" s="10"/>
      <c r="C6" s="93"/>
      <c r="D6" s="59"/>
    </row>
    <row r="7" spans="1:19" ht="15.5" x14ac:dyDescent="0.35">
      <c r="B7" s="10" t="s">
        <v>46</v>
      </c>
      <c r="C7" s="93"/>
      <c r="D7" s="59"/>
    </row>
    <row r="8" spans="1:19" ht="14.5" x14ac:dyDescent="0.35">
      <c r="A8" s="16">
        <v>1200</v>
      </c>
      <c r="B8" s="16" t="s">
        <v>47</v>
      </c>
      <c r="C8" s="88">
        <v>0</v>
      </c>
      <c r="D8" s="44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9">
        <v>0</v>
      </c>
      <c r="Q8" s="19">
        <v>0</v>
      </c>
      <c r="R8" s="18">
        <v>0</v>
      </c>
      <c r="S8" s="18">
        <v>0</v>
      </c>
    </row>
    <row r="9" spans="1:19" ht="14.5" x14ac:dyDescent="0.35">
      <c r="A9" s="16">
        <v>1210</v>
      </c>
      <c r="B9" s="16" t="s">
        <v>48</v>
      </c>
      <c r="C9" s="86">
        <v>0</v>
      </c>
      <c r="D9" s="42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</row>
    <row r="10" spans="1:19" ht="14.5" x14ac:dyDescent="0.35">
      <c r="A10" s="16">
        <v>1220</v>
      </c>
      <c r="B10" s="16" t="s">
        <v>49</v>
      </c>
      <c r="C10" s="86">
        <v>0</v>
      </c>
      <c r="D10" s="42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</row>
    <row r="11" spans="1:19" ht="14.5" x14ac:dyDescent="0.35">
      <c r="A11" s="61">
        <v>1250</v>
      </c>
      <c r="B11" s="61" t="s">
        <v>50</v>
      </c>
      <c r="C11" s="94">
        <v>0</v>
      </c>
      <c r="D11" s="62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</row>
    <row r="12" spans="1:19" ht="15.5" x14ac:dyDescent="0.35">
      <c r="B12" s="10" t="s">
        <v>51</v>
      </c>
      <c r="C12" s="85">
        <v>0</v>
      </c>
      <c r="D12" s="41">
        <f t="shared" ref="D12" si="0">SUM(D8:D11)</f>
        <v>0</v>
      </c>
      <c r="E12" s="13">
        <f t="shared" ref="E12:Q12" si="1">SUM(E8:E11)</f>
        <v>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  <c r="Q12" s="13">
        <f t="shared" si="1"/>
        <v>0</v>
      </c>
      <c r="R12" s="13">
        <f t="shared" ref="R12" si="2">SUM(R8:R11)</f>
        <v>0</v>
      </c>
      <c r="S12" s="13">
        <f t="shared" ref="S12" si="3">SUM(S8:S11)</f>
        <v>0</v>
      </c>
    </row>
    <row r="13" spans="1:19" x14ac:dyDescent="0.3">
      <c r="C13" s="95"/>
      <c r="D13" s="6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5" x14ac:dyDescent="0.35">
      <c r="A14" s="64">
        <v>1500</v>
      </c>
      <c r="B14" s="65" t="s">
        <v>52</v>
      </c>
      <c r="C14" s="96">
        <v>0</v>
      </c>
      <c r="D14" s="66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>24000</f>
        <v>24000</v>
      </c>
      <c r="O14" s="67">
        <v>0</v>
      </c>
      <c r="P14" s="67">
        <v>0</v>
      </c>
      <c r="Q14" s="67">
        <f>19901</f>
        <v>19901</v>
      </c>
      <c r="R14" s="67">
        <v>0</v>
      </c>
      <c r="S14" s="67">
        <v>0</v>
      </c>
    </row>
    <row r="15" spans="1:19" x14ac:dyDescent="0.3">
      <c r="C15" s="95"/>
      <c r="D15" s="6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5" x14ac:dyDescent="0.35">
      <c r="A16" s="64">
        <v>1570</v>
      </c>
      <c r="B16" s="65" t="s">
        <v>53</v>
      </c>
      <c r="C16" s="96">
        <v>25000</v>
      </c>
      <c r="D16" s="66">
        <v>20000</v>
      </c>
      <c r="E16" s="67">
        <v>20000</v>
      </c>
      <c r="F16" s="67">
        <f>6000+4000</f>
        <v>10000</v>
      </c>
      <c r="G16" s="67">
        <v>10000</v>
      </c>
      <c r="H16" s="67">
        <v>6000</v>
      </c>
      <c r="I16" s="67">
        <v>6000</v>
      </c>
      <c r="J16" s="67">
        <v>6000</v>
      </c>
      <c r="K16" s="67">
        <v>6000</v>
      </c>
      <c r="L16" s="67">
        <v>6000</v>
      </c>
      <c r="M16" s="67">
        <v>6000</v>
      </c>
      <c r="N16" s="67">
        <v>2000</v>
      </c>
      <c r="O16" s="67">
        <v>0</v>
      </c>
      <c r="P16" s="67">
        <v>0</v>
      </c>
      <c r="Q16" s="67">
        <v>0</v>
      </c>
      <c r="R16" s="67">
        <f>6000+4000</f>
        <v>10000</v>
      </c>
      <c r="S16" s="67">
        <v>6000</v>
      </c>
    </row>
    <row r="17" spans="1:19" x14ac:dyDescent="0.3">
      <c r="C17" s="84"/>
      <c r="D17" s="4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1"/>
      <c r="S17" s="11"/>
    </row>
    <row r="18" spans="1:19" ht="14.5" x14ac:dyDescent="0.35">
      <c r="A18" s="16">
        <v>1900</v>
      </c>
      <c r="B18" s="16" t="s">
        <v>54</v>
      </c>
      <c r="C18" s="86">
        <v>56</v>
      </c>
      <c r="D18" s="42">
        <f>56</f>
        <v>56</v>
      </c>
      <c r="E18" s="19">
        <f>56</f>
        <v>56</v>
      </c>
      <c r="F18" s="19">
        <v>56</v>
      </c>
      <c r="G18" s="19">
        <v>56</v>
      </c>
      <c r="H18" s="19">
        <v>4939</v>
      </c>
      <c r="I18" s="19">
        <v>7676</v>
      </c>
      <c r="J18" s="19">
        <f>7582+2700</f>
        <v>10282</v>
      </c>
      <c r="K18" s="19">
        <v>9680</v>
      </c>
      <c r="L18" s="19">
        <v>10845</v>
      </c>
      <c r="M18" s="19">
        <v>11956</v>
      </c>
      <c r="N18" s="19">
        <v>9353</v>
      </c>
      <c r="O18" s="19">
        <v>6839</v>
      </c>
      <c r="P18" s="19">
        <v>1631.5</v>
      </c>
      <c r="Q18" s="19">
        <v>4175</v>
      </c>
      <c r="R18" s="19">
        <v>56</v>
      </c>
      <c r="S18" s="19">
        <v>815</v>
      </c>
    </row>
    <row r="19" spans="1:19" ht="14.5" x14ac:dyDescent="0.35">
      <c r="A19" s="16">
        <v>1920</v>
      </c>
      <c r="B19" s="16" t="s">
        <v>55</v>
      </c>
      <c r="C19" s="88">
        <v>0</v>
      </c>
      <c r="D19" s="44">
        <v>0.04</v>
      </c>
      <c r="E19" s="18">
        <v>0.04</v>
      </c>
      <c r="F19" s="18">
        <v>0</v>
      </c>
      <c r="G19" s="18">
        <v>0</v>
      </c>
      <c r="H19" s="18">
        <v>0</v>
      </c>
      <c r="I19" s="18">
        <v>56.26</v>
      </c>
      <c r="J19" s="18">
        <v>31553.97</v>
      </c>
      <c r="K19" s="18">
        <v>110617.67</v>
      </c>
      <c r="L19" s="18">
        <v>94848.18</v>
      </c>
      <c r="M19" s="18">
        <v>90237.04</v>
      </c>
      <c r="N19" s="18">
        <v>68024.350000000006</v>
      </c>
      <c r="O19" s="18">
        <v>80043.899999999994</v>
      </c>
      <c r="P19" s="18">
        <v>58736.63</v>
      </c>
      <c r="Q19" s="19">
        <v>52053.04</v>
      </c>
      <c r="R19" s="18">
        <v>0</v>
      </c>
      <c r="S19" s="18"/>
    </row>
    <row r="20" spans="1:19" ht="14.5" x14ac:dyDescent="0.35">
      <c r="A20" s="16">
        <v>1925</v>
      </c>
      <c r="B20" s="16" t="s">
        <v>56</v>
      </c>
      <c r="C20" s="86">
        <v>311091</v>
      </c>
      <c r="D20" s="42">
        <v>274973</v>
      </c>
      <c r="E20" s="19">
        <v>262746</v>
      </c>
      <c r="F20" s="19">
        <v>207462</v>
      </c>
      <c r="G20" s="19">
        <v>198474</v>
      </c>
      <c r="H20" s="19">
        <v>120899.34</v>
      </c>
      <c r="I20" s="19">
        <v>114321.47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181176.52</v>
      </c>
      <c r="S20" s="19">
        <v>166369.79999999999</v>
      </c>
    </row>
    <row r="21" spans="1:19" ht="14.5" x14ac:dyDescent="0.35">
      <c r="A21" s="61">
        <v>1930</v>
      </c>
      <c r="B21" s="61" t="s">
        <v>57</v>
      </c>
      <c r="C21" s="94"/>
      <c r="D21" s="62"/>
      <c r="E21" s="63"/>
      <c r="F21" s="63">
        <v>0</v>
      </c>
      <c r="G21" s="63">
        <v>0</v>
      </c>
      <c r="H21" s="63">
        <v>0</v>
      </c>
      <c r="I21" s="63">
        <v>129.82</v>
      </c>
      <c r="J21" s="63">
        <v>90939.58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</row>
    <row r="22" spans="1:19" ht="15.5" x14ac:dyDescent="0.35">
      <c r="B22" s="10" t="s">
        <v>58</v>
      </c>
      <c r="C22" s="85">
        <f t="shared" ref="C22:D22" si="4">SUM(C18:C21)</f>
        <v>311147</v>
      </c>
      <c r="D22" s="41">
        <f t="shared" si="4"/>
        <v>275029.03999999998</v>
      </c>
      <c r="E22" s="13">
        <v>262802</v>
      </c>
      <c r="F22" s="13">
        <f t="shared" ref="F22:H22" si="5">SUM(F18:F21)</f>
        <v>207518</v>
      </c>
      <c r="G22" s="13">
        <f t="shared" si="5"/>
        <v>198530</v>
      </c>
      <c r="H22" s="13">
        <f t="shared" si="5"/>
        <v>125838.34</v>
      </c>
      <c r="I22" s="13">
        <f t="shared" ref="I22:R22" si="6">SUM(I18:I21)</f>
        <v>122183.55</v>
      </c>
      <c r="J22" s="13">
        <f t="shared" si="6"/>
        <v>132775.54999999999</v>
      </c>
      <c r="K22" s="13">
        <f t="shared" si="6"/>
        <v>120297.67</v>
      </c>
      <c r="L22" s="13">
        <f t="shared" si="6"/>
        <v>105693.18</v>
      </c>
      <c r="M22" s="13">
        <f t="shared" si="6"/>
        <v>102193.04</v>
      </c>
      <c r="N22" s="13">
        <f t="shared" si="6"/>
        <v>77377.350000000006</v>
      </c>
      <c r="O22" s="13">
        <f t="shared" si="6"/>
        <v>86882.9</v>
      </c>
      <c r="P22" s="13">
        <f t="shared" si="6"/>
        <v>60368.13</v>
      </c>
      <c r="Q22" s="13">
        <f t="shared" si="6"/>
        <v>56228.04</v>
      </c>
      <c r="R22" s="13">
        <f t="shared" si="6"/>
        <v>181232.52</v>
      </c>
      <c r="S22" s="13">
        <f t="shared" ref="S22" si="7">SUM(S18:S21)</f>
        <v>167184.79999999999</v>
      </c>
    </row>
    <row r="23" spans="1:19" x14ac:dyDescent="0.3">
      <c r="C23" s="95"/>
      <c r="D23" s="6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.5" x14ac:dyDescent="0.35">
      <c r="A24" s="14"/>
      <c r="B24" s="14" t="s">
        <v>59</v>
      </c>
      <c r="C24" s="15">
        <f>C12+C14+C16+C22</f>
        <v>336147</v>
      </c>
      <c r="D24" s="15">
        <f t="shared" ref="D24:E24" si="8">D12+D14+D16+D22</f>
        <v>295029.03999999998</v>
      </c>
      <c r="E24" s="15">
        <f t="shared" si="8"/>
        <v>282802</v>
      </c>
      <c r="F24" s="15">
        <f t="shared" ref="F24:I24" si="9">F12+F14+F16+F22</f>
        <v>217518</v>
      </c>
      <c r="G24" s="15">
        <f t="shared" si="9"/>
        <v>208530</v>
      </c>
      <c r="H24" s="15">
        <f t="shared" si="9"/>
        <v>131838.34</v>
      </c>
      <c r="I24" s="15">
        <f t="shared" si="9"/>
        <v>128183.55</v>
      </c>
      <c r="J24" s="15">
        <f t="shared" ref="J24:R24" si="10">J12+J14+J16+J22</f>
        <v>138775.54999999999</v>
      </c>
      <c r="K24" s="15">
        <f t="shared" si="10"/>
        <v>126297.67</v>
      </c>
      <c r="L24" s="15">
        <f t="shared" si="10"/>
        <v>111693.18</v>
      </c>
      <c r="M24" s="15">
        <f t="shared" si="10"/>
        <v>108193.04</v>
      </c>
      <c r="N24" s="15">
        <f t="shared" si="10"/>
        <v>103377.35</v>
      </c>
      <c r="O24" s="15">
        <f t="shared" si="10"/>
        <v>86882.9</v>
      </c>
      <c r="P24" s="15">
        <f t="shared" si="10"/>
        <v>60368.13</v>
      </c>
      <c r="Q24" s="15">
        <f t="shared" si="10"/>
        <v>76129.040000000008</v>
      </c>
      <c r="R24" s="15">
        <f t="shared" si="10"/>
        <v>191232.52</v>
      </c>
      <c r="S24" s="15">
        <f t="shared" ref="S24" si="11">S12+S14+S16+S22</f>
        <v>173184.8</v>
      </c>
    </row>
    <row r="25" spans="1:19" x14ac:dyDescent="0.3">
      <c r="C25" s="95"/>
      <c r="D25" s="60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.5" x14ac:dyDescent="0.35">
      <c r="B26" s="10" t="s">
        <v>60</v>
      </c>
      <c r="C26" s="95"/>
      <c r="D26" s="60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3">
      <c r="C27" s="95"/>
      <c r="D27" s="6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.5" x14ac:dyDescent="0.35">
      <c r="B28" s="10" t="s">
        <v>61</v>
      </c>
      <c r="C28" s="95"/>
      <c r="D28" s="60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x14ac:dyDescent="0.3">
      <c r="C29" s="95"/>
      <c r="D29" s="60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4.5" x14ac:dyDescent="0.35">
      <c r="A30" s="16">
        <v>2000</v>
      </c>
      <c r="B30" s="16" t="s">
        <v>62</v>
      </c>
      <c r="C30" s="86">
        <f>D32-0.04</f>
        <v>295029.96000000002</v>
      </c>
      <c r="D30" s="42">
        <f>E32</f>
        <v>282802</v>
      </c>
      <c r="E30" s="19">
        <v>217518</v>
      </c>
      <c r="F30" s="19">
        <v>208530</v>
      </c>
      <c r="G30" s="19">
        <v>191233</v>
      </c>
      <c r="H30" s="19">
        <f t="shared" ref="H30:P30" si="12">I32</f>
        <v>128183.15000000001</v>
      </c>
      <c r="I30" s="19">
        <f t="shared" si="12"/>
        <v>136075.15000000002</v>
      </c>
      <c r="J30" s="19">
        <f t="shared" si="12"/>
        <v>125584.27000000002</v>
      </c>
      <c r="K30" s="38">
        <f t="shared" si="12"/>
        <v>111692.78000000001</v>
      </c>
      <c r="L30" s="19">
        <f t="shared" si="12"/>
        <v>108193.04000000001</v>
      </c>
      <c r="M30" s="19">
        <f t="shared" si="12"/>
        <v>103178.35</v>
      </c>
      <c r="N30" s="19">
        <f t="shared" si="12"/>
        <v>86882.900000000009</v>
      </c>
      <c r="O30" s="19">
        <f t="shared" si="12"/>
        <v>60368.130000000005</v>
      </c>
      <c r="P30" s="19">
        <f t="shared" si="12"/>
        <v>75056.540000000008</v>
      </c>
      <c r="Q30" s="19">
        <f>46475.46+9731</f>
        <v>56206.46</v>
      </c>
      <c r="R30" s="63">
        <v>157588</v>
      </c>
      <c r="S30" s="19">
        <v>131838</v>
      </c>
    </row>
    <row r="31" spans="1:19" ht="14.5" x14ac:dyDescent="0.35">
      <c r="A31" s="61">
        <v>2050</v>
      </c>
      <c r="B31" s="61" t="s">
        <v>63</v>
      </c>
      <c r="C31" s="94">
        <f>Resultat!D56</f>
        <v>41117</v>
      </c>
      <c r="D31" s="62">
        <f>Resultat!F56</f>
        <v>12228</v>
      </c>
      <c r="E31" s="63">
        <v>65284</v>
      </c>
      <c r="F31" s="63">
        <v>8988</v>
      </c>
      <c r="G31" s="63">
        <v>17297</v>
      </c>
      <c r="H31" s="63">
        <f>Resultat!K56</f>
        <v>3654.79</v>
      </c>
      <c r="I31" s="63">
        <f>Resultat!M56</f>
        <v>-7892.0000000000082</v>
      </c>
      <c r="J31" s="63">
        <f>Resultat!O56</f>
        <v>10490.880000000001</v>
      </c>
      <c r="K31" s="63">
        <f>Resultat!Q56</f>
        <v>13891.49</v>
      </c>
      <c r="L31" s="63">
        <f>Resultat!S56</f>
        <v>3499.7400000000007</v>
      </c>
      <c r="M31" s="63">
        <f>Resultat!U56</f>
        <v>5014.6900000000005</v>
      </c>
      <c r="N31" s="63">
        <f>Resultat!W56</f>
        <v>16295.45</v>
      </c>
      <c r="O31" s="63">
        <f>Resultat!X56</f>
        <v>26514.77</v>
      </c>
      <c r="P31" s="63">
        <f>Resultat!Y56</f>
        <v>-14688.410000000002</v>
      </c>
      <c r="Q31" s="63">
        <f>Resultat!Z56</f>
        <v>18850.080000000002</v>
      </c>
      <c r="R31" s="12">
        <v>33644</v>
      </c>
      <c r="S31" s="63">
        <v>25750</v>
      </c>
    </row>
    <row r="32" spans="1:19" ht="15.5" x14ac:dyDescent="0.35">
      <c r="B32" s="10" t="s">
        <v>64</v>
      </c>
      <c r="C32" s="85">
        <f t="shared" ref="C32:E32" si="13">SUM(C30:C31)</f>
        <v>336146.96</v>
      </c>
      <c r="D32" s="41">
        <f t="shared" si="13"/>
        <v>295030</v>
      </c>
      <c r="E32" s="13">
        <f t="shared" si="13"/>
        <v>282802</v>
      </c>
      <c r="F32" s="13">
        <f t="shared" ref="F32:Q32" si="14">SUM(F30:F31)</f>
        <v>217518</v>
      </c>
      <c r="G32" s="13">
        <f t="shared" si="14"/>
        <v>208530</v>
      </c>
      <c r="H32" s="13">
        <f t="shared" si="14"/>
        <v>131837.94</v>
      </c>
      <c r="I32" s="13">
        <f t="shared" si="14"/>
        <v>128183.15000000001</v>
      </c>
      <c r="J32" s="13">
        <f t="shared" si="14"/>
        <v>136075.15000000002</v>
      </c>
      <c r="K32" s="13">
        <f t="shared" si="14"/>
        <v>125584.27000000002</v>
      </c>
      <c r="L32" s="13">
        <f t="shared" si="14"/>
        <v>111692.78000000001</v>
      </c>
      <c r="M32" s="13">
        <f t="shared" si="14"/>
        <v>108193.04000000001</v>
      </c>
      <c r="N32" s="13">
        <f t="shared" si="14"/>
        <v>103178.35</v>
      </c>
      <c r="O32" s="13">
        <f t="shared" si="14"/>
        <v>86882.900000000009</v>
      </c>
      <c r="P32" s="13">
        <f t="shared" si="14"/>
        <v>60368.130000000005</v>
      </c>
      <c r="Q32" s="13">
        <f t="shared" si="14"/>
        <v>75056.540000000008</v>
      </c>
      <c r="R32" s="13">
        <v>191233</v>
      </c>
      <c r="S32" s="13">
        <f t="shared" ref="S32" si="15">SUM(S30:S31)</f>
        <v>157588</v>
      </c>
    </row>
    <row r="33" spans="1:19" x14ac:dyDescent="0.3">
      <c r="C33" s="95"/>
      <c r="D33" s="60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5.5" x14ac:dyDescent="0.35">
      <c r="B34" s="10" t="s">
        <v>65</v>
      </c>
      <c r="C34" s="95"/>
      <c r="D34" s="60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x14ac:dyDescent="0.3">
      <c r="C35" s="95"/>
      <c r="D35" s="6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4.5" x14ac:dyDescent="0.35">
      <c r="A36" s="16">
        <v>2400</v>
      </c>
      <c r="B36" s="16" t="s">
        <v>66</v>
      </c>
      <c r="C36" s="86">
        <v>0</v>
      </c>
      <c r="D36" s="42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0.4</v>
      </c>
      <c r="K36" s="19">
        <v>0</v>
      </c>
      <c r="L36" s="19">
        <v>0</v>
      </c>
      <c r="M36" s="19">
        <v>0</v>
      </c>
      <c r="N36" s="19">
        <v>199</v>
      </c>
      <c r="O36" s="19">
        <v>0</v>
      </c>
      <c r="P36" s="19">
        <v>0</v>
      </c>
      <c r="Q36" s="19">
        <f>941.25+131.25</f>
        <v>1072.5</v>
      </c>
      <c r="R36" s="19">
        <v>0</v>
      </c>
      <c r="S36" s="19">
        <v>0</v>
      </c>
    </row>
    <row r="37" spans="1:19" ht="14.5" x14ac:dyDescent="0.35">
      <c r="A37" s="16">
        <v>2500</v>
      </c>
      <c r="B37" s="16" t="s">
        <v>67</v>
      </c>
      <c r="C37" s="86">
        <v>0</v>
      </c>
      <c r="D37" s="42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</row>
    <row r="38" spans="1:19" ht="14.5" x14ac:dyDescent="0.35">
      <c r="A38" s="16">
        <v>2510</v>
      </c>
      <c r="B38" s="16" t="s">
        <v>68</v>
      </c>
      <c r="C38" s="86">
        <v>0</v>
      </c>
      <c r="D38" s="42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ht="14.5" x14ac:dyDescent="0.35">
      <c r="A39" s="61">
        <v>2990</v>
      </c>
      <c r="B39" s="61" t="s">
        <v>69</v>
      </c>
      <c r="C39" s="94">
        <v>0</v>
      </c>
      <c r="D39" s="62">
        <v>0</v>
      </c>
      <c r="E39" s="63">
        <v>0</v>
      </c>
      <c r="F39" s="63">
        <v>0</v>
      </c>
      <c r="G39" s="63"/>
      <c r="H39" s="63">
        <v>0</v>
      </c>
      <c r="I39" s="63">
        <v>0</v>
      </c>
      <c r="J39" s="63">
        <v>2700</v>
      </c>
      <c r="K39" s="63">
        <v>714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15596</v>
      </c>
    </row>
    <row r="40" spans="1:19" ht="15.5" x14ac:dyDescent="0.35">
      <c r="B40" s="10" t="s">
        <v>70</v>
      </c>
      <c r="C40" s="85"/>
      <c r="D40" s="41">
        <f t="shared" ref="D40:E40" si="16">SUM(D36:D39)</f>
        <v>0</v>
      </c>
      <c r="E40" s="13">
        <f t="shared" si="16"/>
        <v>0</v>
      </c>
      <c r="F40" s="13">
        <f t="shared" ref="F40:H40" si="17">SUM(F36:F39)</f>
        <v>0</v>
      </c>
      <c r="G40" s="13">
        <f t="shared" si="17"/>
        <v>0</v>
      </c>
      <c r="H40" s="13">
        <f t="shared" si="17"/>
        <v>0</v>
      </c>
      <c r="I40" s="13">
        <f t="shared" ref="I40:R40" si="18">SUM(I36:I39)</f>
        <v>0</v>
      </c>
      <c r="J40" s="13">
        <f t="shared" si="18"/>
        <v>2700.4</v>
      </c>
      <c r="K40" s="13">
        <f t="shared" si="18"/>
        <v>714</v>
      </c>
      <c r="L40" s="13">
        <f t="shared" si="18"/>
        <v>0</v>
      </c>
      <c r="M40" s="13">
        <f t="shared" si="18"/>
        <v>0</v>
      </c>
      <c r="N40" s="13">
        <f t="shared" si="18"/>
        <v>199</v>
      </c>
      <c r="O40" s="13">
        <f t="shared" si="18"/>
        <v>0</v>
      </c>
      <c r="P40" s="13">
        <f t="shared" si="18"/>
        <v>0</v>
      </c>
      <c r="Q40" s="13">
        <f t="shared" si="18"/>
        <v>1072.5</v>
      </c>
      <c r="R40" s="13">
        <f t="shared" si="18"/>
        <v>0</v>
      </c>
      <c r="S40" s="13">
        <f t="shared" ref="S40" si="19">SUM(S36:S39)</f>
        <v>15596</v>
      </c>
    </row>
    <row r="41" spans="1:19" x14ac:dyDescent="0.3">
      <c r="A41" s="64"/>
      <c r="C41" s="95"/>
      <c r="D41" s="60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5.5" x14ac:dyDescent="0.35">
      <c r="A42" s="14"/>
      <c r="B42" s="14" t="s">
        <v>71</v>
      </c>
      <c r="C42" s="15">
        <f t="shared" ref="C42:E42" si="20">C32+C40</f>
        <v>336146.96</v>
      </c>
      <c r="D42" s="15">
        <f t="shared" si="20"/>
        <v>295030</v>
      </c>
      <c r="E42" s="15">
        <f t="shared" si="20"/>
        <v>282802</v>
      </c>
      <c r="F42" s="15">
        <f t="shared" ref="F42:I42" si="21">F32+F40</f>
        <v>217518</v>
      </c>
      <c r="G42" s="15">
        <f t="shared" si="21"/>
        <v>208530</v>
      </c>
      <c r="H42" s="15">
        <f t="shared" si="21"/>
        <v>131837.94</v>
      </c>
      <c r="I42" s="15">
        <f t="shared" si="21"/>
        <v>128183.15000000001</v>
      </c>
      <c r="J42" s="15">
        <f>J32+J40</f>
        <v>138775.55000000002</v>
      </c>
      <c r="K42" s="15">
        <f>K32+K40</f>
        <v>126298.27000000002</v>
      </c>
      <c r="L42" s="15">
        <f t="shared" ref="L42:R42" si="22">L32+L40</f>
        <v>111692.78000000001</v>
      </c>
      <c r="M42" s="15">
        <f t="shared" si="22"/>
        <v>108193.04000000001</v>
      </c>
      <c r="N42" s="15">
        <f t="shared" si="22"/>
        <v>103377.35</v>
      </c>
      <c r="O42" s="15">
        <f t="shared" si="22"/>
        <v>86882.900000000009</v>
      </c>
      <c r="P42" s="15">
        <f t="shared" si="22"/>
        <v>60368.130000000005</v>
      </c>
      <c r="Q42" s="15">
        <f t="shared" si="22"/>
        <v>76129.040000000008</v>
      </c>
      <c r="R42" s="15">
        <f t="shared" si="22"/>
        <v>191233</v>
      </c>
      <c r="S42" s="15">
        <f t="shared" ref="S42" si="23">S32+S40</f>
        <v>173184</v>
      </c>
    </row>
    <row r="43" spans="1:19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R43" s="12"/>
      <c r="S43" s="12"/>
    </row>
    <row r="44" spans="1:19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R44" s="12"/>
      <c r="S44" s="12"/>
    </row>
    <row r="45" spans="1:19" ht="14.5" x14ac:dyDescent="0.35">
      <c r="B45" s="16"/>
      <c r="C45" s="12"/>
      <c r="D45" s="12"/>
      <c r="E45" s="12"/>
      <c r="F45" s="12"/>
      <c r="G45" s="12"/>
      <c r="H45" s="12">
        <f t="shared" ref="H45:Q45" si="24">+H24-H42</f>
        <v>0.39999999999417923</v>
      </c>
      <c r="I45" s="12">
        <f t="shared" si="24"/>
        <v>0.39999999999417923</v>
      </c>
      <c r="J45" s="12">
        <f t="shared" si="24"/>
        <v>0</v>
      </c>
      <c r="K45" s="12">
        <f t="shared" si="24"/>
        <v>-0.60000000002037268</v>
      </c>
      <c r="L45" s="12">
        <f t="shared" si="24"/>
        <v>0.39999999997962732</v>
      </c>
      <c r="M45" s="12">
        <f t="shared" si="24"/>
        <v>0</v>
      </c>
      <c r="N45" s="12">
        <f t="shared" si="24"/>
        <v>0</v>
      </c>
      <c r="O45" s="12">
        <f t="shared" si="24"/>
        <v>0</v>
      </c>
      <c r="P45" s="12">
        <f t="shared" si="24"/>
        <v>0</v>
      </c>
      <c r="Q45" s="12">
        <f t="shared" si="24"/>
        <v>0</v>
      </c>
      <c r="R45" s="12"/>
      <c r="S45" s="12"/>
    </row>
    <row r="46" spans="1:19" x14ac:dyDescent="0.3"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9" x14ac:dyDescent="0.3">
      <c r="E47" s="17"/>
      <c r="F47" s="17"/>
      <c r="G47" s="17"/>
      <c r="H47" s="17"/>
      <c r="I47" s="17"/>
      <c r="J47" s="17"/>
      <c r="K47" s="17"/>
      <c r="L47" s="17"/>
      <c r="M47" s="17"/>
      <c r="N47" s="12"/>
      <c r="O47" s="12"/>
    </row>
    <row r="48" spans="1:19" x14ac:dyDescent="0.3">
      <c r="E48" s="17"/>
      <c r="F48" s="17"/>
      <c r="G48" s="17"/>
      <c r="H48" s="17"/>
      <c r="I48" s="17"/>
      <c r="J48" s="17"/>
      <c r="K48" s="17"/>
      <c r="L48" s="17"/>
      <c r="M48" s="17"/>
      <c r="N48" s="12"/>
      <c r="O48" s="12"/>
    </row>
    <row r="49" spans="5:15" x14ac:dyDescent="0.3">
      <c r="E49" s="17"/>
      <c r="F49" s="17"/>
      <c r="G49" s="17"/>
      <c r="H49" s="17"/>
      <c r="I49" s="17"/>
      <c r="J49" s="17"/>
      <c r="K49" s="17"/>
      <c r="L49" s="17"/>
      <c r="M49" s="17"/>
      <c r="N49" s="12"/>
      <c r="O49" s="12"/>
    </row>
    <row r="50" spans="5:15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5:15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5:15" x14ac:dyDescent="0.3"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5:15" x14ac:dyDescent="0.3"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5:15" x14ac:dyDescent="0.3"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5:15" x14ac:dyDescent="0.3"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5:15" x14ac:dyDescent="0.3"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5:15" x14ac:dyDescent="0.3"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5:15" x14ac:dyDescent="0.3"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5:15" x14ac:dyDescent="0.3"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5:15" x14ac:dyDescent="0.3"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5:15" x14ac:dyDescent="0.3"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5:15" x14ac:dyDescent="0.3"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5:15" x14ac:dyDescent="0.3"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5:15" x14ac:dyDescent="0.3"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5:15" x14ac:dyDescent="0.3"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5:15" x14ac:dyDescent="0.3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5:15" x14ac:dyDescent="0.3"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5:15" x14ac:dyDescent="0.3"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5:15" x14ac:dyDescent="0.3"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5:15" x14ac:dyDescent="0.3"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5:15" x14ac:dyDescent="0.3"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5:15" x14ac:dyDescent="0.3"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5:15" x14ac:dyDescent="0.3"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5:15" x14ac:dyDescent="0.3"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5:15" x14ac:dyDescent="0.3"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5:15" x14ac:dyDescent="0.3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5:15" x14ac:dyDescent="0.3"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5:15" x14ac:dyDescent="0.3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5:15" x14ac:dyDescent="0.3"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5:15" x14ac:dyDescent="0.3"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5:15" x14ac:dyDescent="0.3"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5:15" x14ac:dyDescent="0.3"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5:15" x14ac:dyDescent="0.3"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5:15" x14ac:dyDescent="0.3"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5:15" x14ac:dyDescent="0.3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5:15" x14ac:dyDescent="0.3"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5:15" x14ac:dyDescent="0.3"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5:15" x14ac:dyDescent="0.3"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5:15" x14ac:dyDescent="0.3"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5:15" x14ac:dyDescent="0.3"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5:15" x14ac:dyDescent="0.3"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5:15" x14ac:dyDescent="0.3"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5:15" x14ac:dyDescent="0.3"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5:15" x14ac:dyDescent="0.3"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5:15" x14ac:dyDescent="0.3"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5:15" x14ac:dyDescent="0.3"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5:15" x14ac:dyDescent="0.3"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5:15" x14ac:dyDescent="0.3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5:15" x14ac:dyDescent="0.3"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5:15" x14ac:dyDescent="0.3"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5:15" x14ac:dyDescent="0.3"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5:15" x14ac:dyDescent="0.3"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5:15" x14ac:dyDescent="0.3"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5:15" x14ac:dyDescent="0.3"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5:15" x14ac:dyDescent="0.3"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5:15" x14ac:dyDescent="0.3"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5:15" x14ac:dyDescent="0.3"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5:15" x14ac:dyDescent="0.3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5:15" x14ac:dyDescent="0.3"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5:15" x14ac:dyDescent="0.3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5:15" x14ac:dyDescent="0.3"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</sheetData>
  <mergeCells count="2">
    <mergeCell ref="A1:G1"/>
    <mergeCell ref="A3:G3"/>
  </mergeCells>
  <phoneticPr fontId="0" type="noConversion"/>
  <pageMargins left="0.59055118110236227" right="0.43307086614173229" top="0.98425196850393704" bottom="0.98425196850393704" header="0.51181102362204722" footer="0.51181102362204722"/>
  <pageSetup paperSize="9" scale="86" fitToHeight="0" orientation="portrait" r:id="rId1"/>
  <headerFooter alignWithMargins="0">
    <oddFooter>&amp;L&amp;1#&amp;"Times New Roman"&amp;8&amp;K000000Sensitivity: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5866-238C-EC44-BF80-C82A6CB99FC3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Forside</vt:lpstr>
      <vt:lpstr>Resultat</vt:lpstr>
      <vt:lpstr>Balanse</vt:lpstr>
      <vt:lpstr>Ark1</vt:lpstr>
      <vt:lpstr>Balanse!Utskriftsområde</vt:lpstr>
      <vt:lpstr>Resultat!Utskriftsområde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A. Sørli</dc:creator>
  <cp:keywords/>
  <dc:description/>
  <cp:lastModifiedBy>Anniken Volden</cp:lastModifiedBy>
  <cp:revision/>
  <cp:lastPrinted>2023-02-15T16:30:28Z</cp:lastPrinted>
  <dcterms:created xsi:type="dcterms:W3CDTF">2006-10-25T20:33:55Z</dcterms:created>
  <dcterms:modified xsi:type="dcterms:W3CDTF">2025-02-01T15:23:34Z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2022-01-15T16:33:41Z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411284dd-e010-41b2-a6a5-7e128baeb4bd</vt:lpwstr>
  </property>
  <property fmtid="{D5CDD505-2E9C-101B-9397-08002B2CF9AE}" pid="8" name="MSIP_Label_18450391-6d50-49e0-a466-bfda2ff2a5e1_ContentBits">
    <vt:lpwstr>2</vt:lpwstr>
  </property>
</Properties>
</file>